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<sst xmlns="http://schemas.openxmlformats.org/spreadsheetml/2006/main" count="300" uniqueCount="207">
  <si>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</si>
  <si>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</si>
  <si>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</si>
  <si>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</si>
  <si>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</si>
  <si>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</si>
  <si>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</si>
  <si>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</si>
  <si>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</si>
  <si>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</si>
  <si>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</si>
  <si>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Осушение электрическими насосами</t>
  </si>
  <si>
    <t>100 куб.м. воды</t>
  </si>
  <si>
    <t>Замена ламп накаливания</t>
  </si>
  <si>
    <t>100 шт.</t>
  </si>
  <si>
    <t>Замена выключателей</t>
  </si>
  <si>
    <t>Замена патронов</t>
  </si>
  <si>
    <t>Прочистка засоренных вентиляционных каналов</t>
  </si>
  <si>
    <t>10 м канала</t>
  </si>
  <si>
    <t>100 м трубопроводов</t>
  </si>
  <si>
    <t>Смена отдельных участков трубопроводов водоснабжения из стальных водогазопроводных оцинкованных труб диаметром 32 мм</t>
  </si>
  <si>
    <t>Смена отдельных участков трубопроводов  водоснабжения из стальных водогазопроводных оцинкованных труб диаметром 40 мм</t>
  </si>
  <si>
    <t>Смена отдельных участков трубопроводов  водоснабжения из стальных водогазопроводных оцинкованных труб диаметром 100 мм</t>
  </si>
  <si>
    <t>Временная заделка свищей и трещин на внутренних трубопроводах и стояках при диаметре трубопровода до 50 мм</t>
  </si>
  <si>
    <t>100 мест</t>
  </si>
  <si>
    <t>Замена прибора учета воды с фильтром</t>
  </si>
  <si>
    <t>Счетчик воды</t>
  </si>
  <si>
    <t>Смена задвижек диаметром до 50 мм</t>
  </si>
  <si>
    <t>Устранение засоров внутренних канализационных трубопроводов</t>
  </si>
  <si>
    <t>100 м трубы</t>
  </si>
  <si>
    <t>Замена шкафов и ВРУ</t>
  </si>
  <si>
    <t>1 шкаф</t>
  </si>
  <si>
    <t>Замена выключателя</t>
  </si>
  <si>
    <t>1 выключатель</t>
  </si>
  <si>
    <t>Замена светильника с лампами накаливания или энергосберегающими лампами</t>
  </si>
  <si>
    <t>1 светильник</t>
  </si>
  <si>
    <t>Утепление и прочистка дымовентиляционных каналов</t>
  </si>
  <si>
    <t>1000 м2  общей площади жилых помещений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</si>
  <si>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</si>
  <si>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</si>
  <si>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</si>
  <si>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деревянных стен, перегородок</t>
  </si>
  <si>
    <t>Осмотр деревянных перекрытий</t>
  </si>
  <si>
    <t>Осмотр деревянных покрытий, полов</t>
  </si>
  <si>
    <t>1000 кв.м. полов</t>
  </si>
  <si>
    <t>Осмотр внутренней отделки стен</t>
  </si>
  <si>
    <t>Осмотр всех элементов кровель из штучных материалов, водостоков</t>
  </si>
  <si>
    <t>1000 кв.м. кровли</t>
  </si>
  <si>
    <t>Осмотр водопровода, канализации и горячего водоснабжения</t>
  </si>
  <si>
    <t>100 квартир</t>
  </si>
  <si>
    <t>Промывка участка водопровода</t>
  </si>
  <si>
    <t>100 куб.м. здания</t>
  </si>
  <si>
    <t>Прочистка канализационного лежака</t>
  </si>
  <si>
    <t>100 м канализационного лежака</t>
  </si>
  <si>
    <t>Проверка исправности  канализационных  вытяжек</t>
  </si>
  <si>
    <t>1000 м2  площади помещений</t>
  </si>
  <si>
    <t>Осмотр  электросети, арматуры, электрооборудования на лестничных клетках</t>
  </si>
  <si>
    <t>100 лестничных площадок</t>
  </si>
  <si>
    <t>Ликвидация воздушных пробок в стояке системы отопления</t>
  </si>
  <si>
    <t>100 стояков</t>
  </si>
  <si>
    <t>Ликвидация воздушных пробок в радиаторном блоке</t>
  </si>
  <si>
    <t>100 радиаторных блоков</t>
  </si>
  <si>
    <t>Устранение аварии на внутридомовых инженерных сетях при сроке эксплуатации многоквартирного дома от 51 до 70 лет</t>
  </si>
  <si>
    <t>1000 м2  общей площади жилых помещений, оборудованных газовыми плитами</t>
  </si>
  <si>
    <t>Подметание в летний период  земельного участка без покрытия 1 класса</t>
  </si>
  <si>
    <t>1 000 кв.м. территории</t>
  </si>
  <si>
    <t>Сдвижка и подметание снега при отсутствии снегопада на придомовой территории без покрытия 1 класса</t>
  </si>
  <si>
    <t>10 000 кв.м. территории</t>
  </si>
  <si>
    <t>Сдвижка и подметание снега при снегопаде на придомовой территории без покрытия 1 класса</t>
  </si>
  <si>
    <t>Очистка территории с усовершенствованным покрытием 1 класса от наледи без обработки противогололедными реагентами</t>
  </si>
  <si>
    <t>Очистка кровли от снега, сбивание сосулек</t>
  </si>
  <si>
    <t>100 кв.м. кровли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</si>
  <si>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</si>
  <si>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</si>
  <si>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</si>
  <si>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</si>
  <si>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</si>
  <si>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Уборка мусора на  контейнерных  площадках</t>
  </si>
  <si>
    <t>на 100 кв.м.</t>
  </si>
  <si>
    <t>ИТОГО: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</si>
  <si>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</si>
  <si>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</si>
  <si>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</si>
  <si>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</si>
  <si>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</si>
  <si>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Дворник 1 разряда</t>
  </si>
  <si>
    <t>чел.-час</t>
  </si>
  <si>
    <t>Изолировщик на термоизоляции 4 разряда</t>
  </si>
  <si>
    <t>Каменщик 3 разряда</t>
  </si>
  <si>
    <t>Кровельщик по рулонным кровлям и по кровлям из штучных материалов 4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</si>
  <si>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</si>
  <si>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</si>
  <si>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Плотник 4 разряда</t>
  </si>
  <si>
    <t>Подсобный рабочий 1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</si>
  <si>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</si>
  <si>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</si>
  <si>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чел/час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</si>
  <si>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</si>
  <si>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</si>
  <si>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</si>
  <si>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</si>
  <si>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</si>
  <si>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Чистильщик дымоходов, боровок и топок 4 разряда</t>
  </si>
  <si>
    <t>Штукатур 3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</si>
  <si>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</si>
  <si>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</si>
  <si>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2 разряда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</si>
  <si>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</si>
  <si>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3.5 разряда</t>
  </si>
  <si>
    <t>Электромонтер по ремонту и обслуживанию электрооборудования 4 разряда</t>
  </si>
  <si>
    <t>Материальные ресурсы</t>
  </si>
  <si>
    <t xml:space="preserve">Алебастр </t>
  </si>
  <si>
    <t>кг</t>
  </si>
  <si>
    <t>Арматура муфтовая оцинкованная к трубопроводам диаметром 100 мм</t>
  </si>
  <si>
    <t>шт.</t>
  </si>
  <si>
    <t>Арматура муфтовая оцинкованная к трубопроводам диаметром 20 мм</t>
  </si>
  <si>
    <t>Арматура муфтовая оцинкованная к трубопроводам диаметром 25 мм</t>
  </si>
  <si>
    <t>Арматура муфтовая оцинкованная к трубопроводам диаметром 32 мм</t>
  </si>
  <si>
    <t>Арматура муфтовая оцинкованная к трубопроводам диаметром 40 мм</t>
  </si>
  <si>
    <t>Арматура муфтовая оцинкованная к трубопроводам диаметром 80 мм</t>
  </si>
  <si>
    <t>Бирки маркировочные пластмассовые</t>
  </si>
  <si>
    <t>Болты с  гайками и шайбами для санитарно-технических работ диаметром 20-22 мм</t>
  </si>
  <si>
    <t>т</t>
  </si>
  <si>
    <t>Болты с гайками и шайбами для санитарно-технических работ, диаметром 16 мм</t>
  </si>
  <si>
    <t>Болты с гайками и шайбами строительные</t>
  </si>
  <si>
    <t>Вентиль обратный муфтовый диаметром до 32 мм</t>
  </si>
  <si>
    <t>Винты с полукруглой головкой длиной 55 - 120 мм</t>
  </si>
  <si>
    <t>Вода водопроводная</t>
  </si>
  <si>
    <t>м3</t>
  </si>
  <si>
    <t>Войлок строительный толщиной 15 мм</t>
  </si>
  <si>
    <t>м2</t>
  </si>
  <si>
    <t>Выключатель одноклавишный</t>
  </si>
  <si>
    <t>Гипсовые вяжущие Г-3</t>
  </si>
  <si>
    <t>Дюбели с калиброванной головкой (в обоймах) с цинковым хроматированным покрытием 2.5х48.5 мм</t>
  </si>
  <si>
    <t>Дюбели с калиброванной головкой (в обоймах) с цинковым хроматированным покрытием 3х78.5 мм</t>
  </si>
  <si>
    <t>Дюбели с калиброванной головкой (в обоймах) с цинковым хроматированным покрытием 4х100 мм</t>
  </si>
  <si>
    <t>Задвижка диаметром 50 мм</t>
  </si>
  <si>
    <t xml:space="preserve">Кольцо уплотнительное (хомут) </t>
  </si>
  <si>
    <t>Краски масляные земляные  МА-0115: мумия, сурик  железный</t>
  </si>
  <si>
    <t>Крепления для трубопроводов: кронштейны, планки, хомуты</t>
  </si>
  <si>
    <t>Лампа накаливания газопольная в прозрачной колбе МО 40-60</t>
  </si>
  <si>
    <t>10 шт.</t>
  </si>
  <si>
    <t xml:space="preserve">Лен трепаный </t>
  </si>
  <si>
    <t xml:space="preserve">Лента изоляционная прорезиненная односторонняя ширина 20 мм, толщина 0,25-0,35 мм </t>
  </si>
  <si>
    <t>Мастика битумно-резиновая</t>
  </si>
  <si>
    <t>Мешки полиэтиленовые, 60 л</t>
  </si>
  <si>
    <t>Накладка резиновая эластичная</t>
  </si>
  <si>
    <t>Олифа комбинированная К-3</t>
  </si>
  <si>
    <t>Олифа натуральная</t>
  </si>
  <si>
    <t>Очес льняной</t>
  </si>
  <si>
    <t>Патроны потолочные</t>
  </si>
  <si>
    <t>Полоса в сборе для заземления</t>
  </si>
  <si>
    <t>Проволока стальная низкоуглеродистая разного  назначения оцинкованная диаметром 1,1 мм</t>
  </si>
  <si>
    <t>Прокладки из паронита марки ПМБ, толщиной 1 мм, диаметром 50 мм</t>
  </si>
  <si>
    <t>1000 шт.</t>
  </si>
  <si>
    <t xml:space="preserve">Профиль монтажный </t>
  </si>
  <si>
    <t>Растворы кладочные тяжелые известковые марки 10</t>
  </si>
  <si>
    <t>Резина листовая вулканизованная цветная</t>
  </si>
  <si>
    <t>Розетка потолочная диаметр до 500 мм</t>
  </si>
  <si>
    <t>Светильник настенный с лампами накаливания</t>
  </si>
  <si>
    <t xml:space="preserve">Сжим ответвительный </t>
  </si>
  <si>
    <t>Скобы металлические</t>
  </si>
  <si>
    <t>Сурик свинцовый тертый</t>
  </si>
  <si>
    <t>Счетчик воды ETWI с импульсным выходом диаметром до 15-20 мм</t>
  </si>
  <si>
    <t>Ткань мешочная</t>
  </si>
  <si>
    <t>10 м2</t>
  </si>
  <si>
    <t>Трубка хлорвиниловая</t>
  </si>
  <si>
    <t>Трубы стальные сварные водогазопроводные с резьбой оцинкованные обыкновенные диаметр условного прохода 100 мм, толщина стенки 4.5 мм</t>
  </si>
  <si>
    <t>пог. м</t>
  </si>
  <si>
    <t>Трубы стальные сварные водогазопроводные с резьбой оцинкованные обыкновенные диаметр условного прохода 20 мм, толщина стенки 2.8 мм</t>
  </si>
  <si>
    <t>Трубы стальные сварные водогазопроводные с резьбой оцинкованные обыкновенные диаметр условного прохода 25 мм, толщина стенки 3.2 мм</t>
  </si>
  <si>
    <t>Трубы стальные сварные водогазопроводные с резьбой оцинкованные обыкновенные диаметр условного прохода 32 мм, толщина стенки 3.2 мм</t>
  </si>
  <si>
    <t>Трубы стальные сварные водогазопроводные с резьбой оцинкованные обыкновенные диаметр условного прохода 40 мм, толщина стенки 3.5 мм</t>
  </si>
  <si>
    <t>Трубы стальные сварные водогазопроводные с резьбой оцинкованные обыкновенные диаметр условного прохода 80 мм, толщина стенки 4 мм</t>
  </si>
  <si>
    <t>Шкаф</t>
  </si>
  <si>
    <t>Шпагат бумажный влагопрочный одножильный 3,7 мм</t>
  </si>
  <si>
    <t>Электроды диаметром 6 мм Э42</t>
  </si>
  <si>
    <t>Специнвентарь</t>
  </si>
  <si>
    <t>Лопата совковая</t>
  </si>
  <si>
    <t>Лопата штыковая</t>
  </si>
  <si>
    <t>Метла березовая</t>
  </si>
  <si>
    <t>Скребок-ледоруб</t>
  </si>
  <si>
    <t>Тележка</t>
  </si>
  <si>
    <t>Машины/Механизмы</t>
  </si>
  <si>
    <t>Насосы мощностью 4 кВт</t>
  </si>
  <si>
    <t>маш.-час.</t>
  </si>
  <si>
    <t>Стоимость в год (в ценах на март 2014 года) руб.</t>
  </si>
  <si>
    <t>Стоимость в год (в ценах на март 2015 года) руб.</t>
  </si>
  <si>
    <t xml:space="preserve">Стоимость на 1 кв.м. общей площади помещений (рублей в месяц) в ценах 2015г </t>
  </si>
  <si>
    <t>Итого собственные работы</t>
  </si>
  <si>
    <t>Затраты по заключенным договорам со специализированными организациями</t>
  </si>
  <si>
    <t>Вывоз и захоронение ТБО</t>
  </si>
  <si>
    <t>1 м2 жилых помещений</t>
  </si>
  <si>
    <t>Стоимость услуги, оказываемой ООО "Чистота" по вывозу и захоронению ТБО от населения в г. Энгельс с 1 апреля по 31 декабря 2015 г</t>
  </si>
  <si>
    <t>Дератизация</t>
  </si>
  <si>
    <t>Договор №1215 на оказание услуг по медицинской дезинфекции, дезинсекции и дератизации с ФБУЗ "Центр гигиены и эпидемиологии в Саратовской области" от 27.11.2014г</t>
  </si>
  <si>
    <t>Итого</t>
  </si>
  <si>
    <t>Сумма по всем статьям затрат</t>
  </si>
  <si>
    <t xml:space="preserve">Смета расходов по содержанию и ремонту общего имущества собственников помещений в многоквартирном доме, расположенном по адресу: г. Энгельс, ул. Трудовая, 6. </t>
  </si>
  <si>
    <t>Общая площадь  жилых помещений 714,3 м2</t>
  </si>
  <si>
    <t>Техническое и аварийное обслуживание водопровода</t>
  </si>
  <si>
    <t>Договор №477-12 на техническое обслуживание</t>
  </si>
  <si>
    <t>Стоимость в ценах на март 2014г, руб.</t>
  </si>
  <si>
    <t>Обслуживание кассового аппарата</t>
  </si>
  <si>
    <t>Договор №3192 на техническое обслуживание кассовых аппаратов от 15 июня 2010 года, счет №48566 от 1 сентября 2014г на оплату замены блока ЭКЛЗ и установку марки-пломбы (1 раз в год), счет №52108 от 02 февраля 2015г на оплату техобслуживания ККМ за месяц, счет №51129 от 3 декабря 2014г на установку сервисного обслуживания 2015г</t>
  </si>
  <si>
    <t>Разработка раздела УК на сайте ЖК "Пляж" с управлением</t>
  </si>
  <si>
    <t>Акт №38 от 27 февраля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</si>
</sst>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b/>
      <sz val="9"/>
      <color indexed="10"/>
      <name val="Arial"/>
      <family val="0"/>
    </font>
    <font>
      <b/>
      <sz val="9"/>
      <color indexed="8"/>
      <name val="Arial"/>
      <family val="2"/>
    </font>
    <font>
      <b/>
      <sz val="12"/>
      <color indexed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2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15" borderId="6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</cellStyleXfs>
  <cellXfs count="76">
    <xf numFmtId="0" fontId="0" fillId="0" borderId="0" xfId="0" applyFill="1" applyAlignment="1" applyProtection="1">
      <alignment/>
      <protection/>
    </xf>
    <xf numFmtId="0" fontId="2" fillId="18" borderId="9" xfId="0" applyFont="1" applyFill="1" applyBorder="1" applyAlignment="1" applyProtection="1">
      <alignment horizontal="center" vertical="center"/>
      <protection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18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4" fontId="0" fillId="0" borderId="12" xfId="0" applyNumberFormat="1" applyFill="1" applyBorder="1" applyAlignment="1" applyProtection="1">
      <alignment horizontal="right" vertical="center"/>
      <protection/>
    </xf>
    <xf numFmtId="0" fontId="2" fillId="18" borderId="9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2" fillId="18" borderId="13" xfId="0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ill="1" applyBorder="1" applyAlignment="1" applyProtection="1">
      <alignment/>
      <protection/>
    </xf>
    <xf numFmtId="4" fontId="5" fillId="0" borderId="16" xfId="0" applyNumberFormat="1" applyFont="1" applyFill="1" applyBorder="1" applyAlignment="1" applyProtection="1">
      <alignment/>
      <protection/>
    </xf>
    <xf numFmtId="4" fontId="4" fillId="9" borderId="16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5" fillId="9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left" vertical="center" wrapText="1"/>
      <protection/>
    </xf>
    <xf numFmtId="4" fontId="0" fillId="0" borderId="21" xfId="0" applyNumberForma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4" fontId="5" fillId="9" borderId="16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12" xfId="0" applyFont="1" applyFill="1" applyBorder="1" applyAlignment="1" applyProtection="1">
      <alignment horizontal="left" vertical="center" wrapText="1"/>
      <protection/>
    </xf>
    <xf numFmtId="4" fontId="0" fillId="2" borderId="16" xfId="0" applyNumberForma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2" fillId="20" borderId="9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2" fillId="21" borderId="10" xfId="0" applyFont="1" applyFill="1" applyBorder="1" applyAlignment="1" applyProtection="1">
      <alignment horizontal="center" vertical="center"/>
      <protection/>
    </xf>
    <xf numFmtId="0" fontId="2" fillId="21" borderId="10" xfId="0" applyFont="1" applyFill="1" applyBorder="1" applyAlignment="1" applyProtection="1">
      <alignment horizontal="center" vertical="center" wrapText="1"/>
      <protection/>
    </xf>
    <xf numFmtId="0" fontId="2" fillId="21" borderId="3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applyProtection="1">
      <alignment horizontal="left" vertical="center" wrapText="1"/>
      <protection/>
    </xf>
    <xf numFmtId="0" fontId="0" fillId="2" borderId="35" xfId="0" applyFill="1" applyBorder="1" applyAlignment="1" applyProtection="1">
      <alignment horizontal="center" vertical="center"/>
      <protection/>
    </xf>
    <xf numFmtId="0" fontId="0" fillId="2" borderId="36" xfId="0" applyFill="1" applyBorder="1" applyAlignment="1" applyProtection="1">
      <alignment horizontal="left" vertical="center" wrapText="1"/>
      <protection/>
    </xf>
    <xf numFmtId="0" fontId="0" fillId="2" borderId="36" xfId="0" applyFill="1" applyBorder="1" applyAlignment="1" applyProtection="1">
      <alignment horizontal="right" vertical="center"/>
      <protection/>
    </xf>
    <xf numFmtId="4" fontId="0" fillId="2" borderId="36" xfId="0" applyNumberFormat="1" applyFill="1" applyBorder="1" applyAlignment="1" applyProtection="1">
      <alignment horizontal="right" vertical="center"/>
      <protection/>
    </xf>
    <xf numFmtId="4" fontId="0" fillId="2" borderId="37" xfId="0" applyNumberFormat="1" applyFill="1" applyBorder="1" applyAlignment="1" applyProtection="1">
      <alignment horizontal="right" vertical="center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left" vertical="center" wrapText="1"/>
      <protection/>
    </xf>
    <xf numFmtId="0" fontId="0" fillId="2" borderId="12" xfId="0" applyFill="1" applyBorder="1" applyAlignment="1" applyProtection="1">
      <alignment horizontal="right" vertical="center"/>
      <protection/>
    </xf>
    <xf numFmtId="4" fontId="0" fillId="2" borderId="12" xfId="0" applyNumberFormat="1" applyFill="1" applyBorder="1" applyAlignment="1" applyProtection="1">
      <alignment horizontal="right" vertical="center"/>
      <protection/>
    </xf>
    <xf numFmtId="4" fontId="0" fillId="2" borderId="38" xfId="0" applyNumberFormat="1" applyFill="1" applyBorder="1" applyAlignment="1" applyProtection="1">
      <alignment horizontal="right" vertical="center"/>
      <protection/>
    </xf>
    <xf numFmtId="0" fontId="4" fillId="2" borderId="39" xfId="0" applyFont="1" applyFill="1" applyBorder="1" applyAlignment="1" applyProtection="1">
      <alignment horizontal="left" vertical="center"/>
      <protection/>
    </xf>
    <xf numFmtId="0" fontId="4" fillId="2" borderId="40" xfId="0" applyFont="1" applyFill="1" applyBorder="1" applyAlignment="1" applyProtection="1">
      <alignment horizontal="left" vertical="center"/>
      <protection/>
    </xf>
    <xf numFmtId="4" fontId="4" fillId="2" borderId="40" xfId="0" applyNumberFormat="1" applyFont="1" applyFill="1" applyBorder="1" applyAlignment="1" applyProtection="1">
      <alignment horizontal="left" vertical="center"/>
      <protection/>
    </xf>
    <xf numFmtId="4" fontId="4" fillId="2" borderId="41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I1">
      <selection activeCell="O9" sqref="O9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3" width="15.00390625" style="0" customWidth="1"/>
    <col min="14" max="14" width="14.00390625" style="0" customWidth="1"/>
    <col min="15" max="15" width="18.7109375" style="0" customWidth="1"/>
  </cols>
  <sheetData>
    <row r="1" spans="2:14" ht="27.75" customHeight="1">
      <c r="B1" s="35" t="s">
        <v>198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28" t="s">
        <v>199</v>
      </c>
    </row>
    <row r="2" spans="2:14" ht="12.75" thickBot="1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28"/>
    </row>
    <row r="3" spans="1:15" ht="95.25" customHeight="1" thickBot="1">
      <c r="A3" s="1"/>
      <c r="B3" s="8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10" t="s">
        <v>186</v>
      </c>
      <c r="N3" s="10" t="s">
        <v>187</v>
      </c>
      <c r="O3" s="10" t="s">
        <v>188</v>
      </c>
    </row>
    <row r="4" spans="2:15" ht="12">
      <c r="B4" s="4">
        <v>1</v>
      </c>
      <c r="C4" s="5" t="s">
        <v>11</v>
      </c>
      <c r="D4" s="5" t="s">
        <v>12</v>
      </c>
      <c r="E4" s="6">
        <v>0.05</v>
      </c>
      <c r="F4" s="6">
        <v>1</v>
      </c>
      <c r="G4" s="7">
        <f>748.4862*E4*F4</f>
        <v>37.424310000000006</v>
      </c>
      <c r="H4" s="7">
        <f>0*E4*F4</f>
        <v>0</v>
      </c>
      <c r="I4" s="7">
        <f>131.81312*E4*F4</f>
        <v>6.590656</v>
      </c>
      <c r="J4" s="7">
        <f>770.619651648*E4*F4</f>
        <v>38.5309825824</v>
      </c>
      <c r="K4" s="7">
        <f>173.34649202304*E4*F4</f>
        <v>8.667324601152002</v>
      </c>
      <c r="L4" s="11">
        <f>161.8948848*E4*F4</f>
        <v>8.09474424</v>
      </c>
      <c r="M4" s="13">
        <f aca="true" t="shared" si="0" ref="M4:M43">SUM(G4:L4)</f>
        <v>99.308017423552</v>
      </c>
      <c r="N4" s="16">
        <f>M4*1.155</f>
        <v>114.70076012420256</v>
      </c>
      <c r="O4" s="17">
        <f>N4/714.3/12</f>
        <v>0.01338148771806927</v>
      </c>
    </row>
    <row r="5" spans="2:15" ht="12">
      <c r="B5" s="4">
        <v>2</v>
      </c>
      <c r="C5" s="5" t="s">
        <v>13</v>
      </c>
      <c r="D5" s="5" t="s">
        <v>14</v>
      </c>
      <c r="E5" s="6">
        <v>0.05</v>
      </c>
      <c r="F5" s="6">
        <v>1</v>
      </c>
      <c r="G5" s="7">
        <f>830.21862*E5*F5</f>
        <v>41.510931</v>
      </c>
      <c r="H5" s="7">
        <f>1916.586*E5*F5</f>
        <v>95.8293</v>
      </c>
      <c r="I5" s="7">
        <f aca="true" t="shared" si="1" ref="I5:I43">0*E5*F5</f>
        <v>0</v>
      </c>
      <c r="J5" s="7">
        <f>790.36812624*E5*F5</f>
        <v>39.518406312</v>
      </c>
      <c r="K5" s="7">
        <f>371.4031383552*E5*F5</f>
        <v>18.57015691776</v>
      </c>
      <c r="L5" s="11">
        <f>166.043724*E5*F5</f>
        <v>8.3021862</v>
      </c>
      <c r="M5" s="13">
        <f t="shared" si="0"/>
        <v>203.73098042976</v>
      </c>
      <c r="N5" s="16">
        <f aca="true" t="shared" si="2" ref="N5:N43">M5*1.155</f>
        <v>235.3092823963728</v>
      </c>
      <c r="O5" s="17">
        <f aca="true" t="shared" si="3" ref="O5:O43">N5/714.3/12</f>
        <v>0.027452200568898785</v>
      </c>
    </row>
    <row r="6" spans="2:15" ht="12">
      <c r="B6" s="4">
        <v>3</v>
      </c>
      <c r="C6" s="5" t="s">
        <v>15</v>
      </c>
      <c r="D6" s="5" t="s">
        <v>14</v>
      </c>
      <c r="E6" s="6">
        <v>0.02</v>
      </c>
      <c r="F6" s="6">
        <v>1</v>
      </c>
      <c r="G6" s="7">
        <f>2996.37228*E6*F6</f>
        <v>59.9274456</v>
      </c>
      <c r="H6" s="7">
        <f>6284.07*E6*F6</f>
        <v>125.6814</v>
      </c>
      <c r="I6" s="7">
        <f t="shared" si="1"/>
        <v>0</v>
      </c>
      <c r="J6" s="7">
        <f>2852.54641056*E6*F6</f>
        <v>57.0509282112</v>
      </c>
      <c r="K6" s="7">
        <f>1273.9638125088*E6*F6</f>
        <v>25.479276250176</v>
      </c>
      <c r="L6" s="11">
        <f>599.274456*E6*F6</f>
        <v>11.98548912</v>
      </c>
      <c r="M6" s="13">
        <f t="shared" si="0"/>
        <v>280.124539181376</v>
      </c>
      <c r="N6" s="16">
        <f t="shared" si="2"/>
        <v>323.5438427544893</v>
      </c>
      <c r="O6" s="17">
        <f t="shared" si="3"/>
        <v>0.03774602673415573</v>
      </c>
    </row>
    <row r="7" spans="2:15" ht="12">
      <c r="B7" s="4">
        <v>4</v>
      </c>
      <c r="C7" s="5" t="s">
        <v>16</v>
      </c>
      <c r="D7" s="5" t="s">
        <v>14</v>
      </c>
      <c r="E7" s="6">
        <v>0.02</v>
      </c>
      <c r="F7" s="6">
        <v>1</v>
      </c>
      <c r="G7" s="7">
        <f>4234.29336*E7*F7</f>
        <v>84.68586719999999</v>
      </c>
      <c r="H7" s="7">
        <f>2376.36*E7*F7</f>
        <v>47.5272</v>
      </c>
      <c r="I7" s="7">
        <f t="shared" si="1"/>
        <v>0</v>
      </c>
      <c r="J7" s="7">
        <f>4031.04727872*E7*F7</f>
        <v>80.62094557440001</v>
      </c>
      <c r="K7" s="7">
        <f>1117.3785670656*E7*F7</f>
        <v>22.347571341312</v>
      </c>
      <c r="L7" s="11">
        <f>846.858672*E7*F7</f>
        <v>16.93717344</v>
      </c>
      <c r="M7" s="13">
        <f t="shared" si="0"/>
        <v>252.118757555712</v>
      </c>
      <c r="N7" s="16">
        <f t="shared" si="2"/>
        <v>291.1971649768474</v>
      </c>
      <c r="O7" s="17">
        <f t="shared" si="3"/>
        <v>0.033972323134169514</v>
      </c>
    </row>
    <row r="8" spans="2:15" ht="12">
      <c r="B8" s="4">
        <v>5</v>
      </c>
      <c r="C8" s="5" t="s">
        <v>17</v>
      </c>
      <c r="D8" s="5" t="s">
        <v>18</v>
      </c>
      <c r="E8" s="6">
        <v>1</v>
      </c>
      <c r="F8" s="6">
        <v>1</v>
      </c>
      <c r="G8" s="7">
        <f>210.47796*E8*F8</f>
        <v>210.47796</v>
      </c>
      <c r="H8" s="7">
        <f>97.4093703*E8*F8</f>
        <v>97.4093703</v>
      </c>
      <c r="I8" s="7">
        <f t="shared" si="1"/>
        <v>0</v>
      </c>
      <c r="J8" s="7">
        <f>200.37501792*E8*F8</f>
        <v>200.37501792</v>
      </c>
      <c r="K8" s="7">
        <f>53.3675465631*E8*F8</f>
        <v>53.3675465631</v>
      </c>
      <c r="L8" s="11">
        <f>42.095592*E8*F8</f>
        <v>42.095592</v>
      </c>
      <c r="M8" s="13">
        <f t="shared" si="0"/>
        <v>603.7254867831</v>
      </c>
      <c r="N8" s="16">
        <f t="shared" si="2"/>
        <v>697.3029372344805</v>
      </c>
      <c r="O8" s="17">
        <f t="shared" si="3"/>
        <v>0.081350382336376</v>
      </c>
    </row>
    <row r="9" spans="2:15" ht="36">
      <c r="B9" s="4">
        <v>6</v>
      </c>
      <c r="C9" s="5" t="s">
        <v>20</v>
      </c>
      <c r="D9" s="5" t="s">
        <v>19</v>
      </c>
      <c r="E9" s="6">
        <v>0.01</v>
      </c>
      <c r="F9" s="6">
        <v>1</v>
      </c>
      <c r="G9" s="7">
        <f>13790.7693*E9*F9</f>
        <v>137.907693</v>
      </c>
      <c r="H9" s="7">
        <f>23206.829789406*E9*F9</f>
        <v>232.06829789406</v>
      </c>
      <c r="I9" s="7">
        <f t="shared" si="1"/>
        <v>0</v>
      </c>
      <c r="J9" s="7">
        <f>13128.8123736*E9*F9</f>
        <v>131.288123736</v>
      </c>
      <c r="K9" s="7">
        <f>5263.2732036156*E9*F9</f>
        <v>52.63273203615601</v>
      </c>
      <c r="L9" s="11">
        <f>2758.15386*E9*F9</f>
        <v>27.5815386</v>
      </c>
      <c r="M9" s="13">
        <f t="shared" si="0"/>
        <v>581.478385266216</v>
      </c>
      <c r="N9" s="16">
        <f t="shared" si="2"/>
        <v>671.6075349824796</v>
      </c>
      <c r="O9" s="17">
        <f t="shared" si="3"/>
        <v>0.07835264536171539</v>
      </c>
    </row>
    <row r="10" spans="2:15" ht="36">
      <c r="B10" s="4">
        <v>7</v>
      </c>
      <c r="C10" s="5" t="s">
        <v>21</v>
      </c>
      <c r="D10" s="5" t="s">
        <v>19</v>
      </c>
      <c r="E10" s="6">
        <v>0.01</v>
      </c>
      <c r="F10" s="6">
        <v>1</v>
      </c>
      <c r="G10" s="7">
        <f>14495.23284*E10*F10</f>
        <v>144.9523284</v>
      </c>
      <c r="H10" s="7">
        <f>31463.577074982*E10*F10</f>
        <v>314.63577074982</v>
      </c>
      <c r="I10" s="7">
        <f t="shared" si="1"/>
        <v>0</v>
      </c>
      <c r="J10" s="7">
        <f>13799.46166368*E10*F10</f>
        <v>137.9946166368</v>
      </c>
      <c r="K10" s="7">
        <f>6274.6185157595*E10*F10</f>
        <v>62.746185157595</v>
      </c>
      <c r="L10" s="11">
        <f>2899.046568*E10*F10</f>
        <v>28.990465680000003</v>
      </c>
      <c r="M10" s="13">
        <f t="shared" si="0"/>
        <v>689.319366624215</v>
      </c>
      <c r="N10" s="16">
        <f t="shared" si="2"/>
        <v>796.1638684509684</v>
      </c>
      <c r="O10" s="17">
        <f t="shared" si="3"/>
        <v>0.0928839269740735</v>
      </c>
    </row>
    <row r="11" spans="2:15" ht="36">
      <c r="B11" s="4">
        <v>8</v>
      </c>
      <c r="C11" s="5" t="s">
        <v>22</v>
      </c>
      <c r="D11" s="5" t="s">
        <v>19</v>
      </c>
      <c r="E11" s="6">
        <v>0.01</v>
      </c>
      <c r="F11" s="6">
        <v>1</v>
      </c>
      <c r="G11" s="7">
        <f>26315.89224*E11*F11</f>
        <v>263.1589224</v>
      </c>
      <c r="H11" s="7">
        <f>78940.77265818*E11*F11</f>
        <v>789.4077265817999</v>
      </c>
      <c r="I11" s="7">
        <f t="shared" si="1"/>
        <v>0</v>
      </c>
      <c r="J11" s="7">
        <f>25052.72941248*E11*F11</f>
        <v>250.5272941248</v>
      </c>
      <c r="K11" s="7">
        <f>13682.486402619*E11*F11</f>
        <v>136.82486402619</v>
      </c>
      <c r="L11" s="11">
        <f>5263.178448*E11*F11</f>
        <v>52.63178448</v>
      </c>
      <c r="M11" s="13">
        <f t="shared" si="0"/>
        <v>1492.55059161279</v>
      </c>
      <c r="N11" s="16">
        <f t="shared" si="2"/>
        <v>1723.8959333127725</v>
      </c>
      <c r="O11" s="17">
        <f t="shared" si="3"/>
        <v>0.20111716987642594</v>
      </c>
    </row>
    <row r="12" spans="2:15" ht="36">
      <c r="B12" s="4">
        <v>9</v>
      </c>
      <c r="C12" s="5" t="s">
        <v>23</v>
      </c>
      <c r="D12" s="5" t="s">
        <v>24</v>
      </c>
      <c r="E12" s="6">
        <v>0.01</v>
      </c>
      <c r="F12" s="6">
        <v>1</v>
      </c>
      <c r="G12" s="7">
        <f>4326.4914*E12*F12</f>
        <v>43.264914</v>
      </c>
      <c r="H12" s="7">
        <f>14004.4318854*E12*F12</f>
        <v>140.044318854</v>
      </c>
      <c r="I12" s="7">
        <f t="shared" si="1"/>
        <v>0</v>
      </c>
      <c r="J12" s="7">
        <f>4118.8198128*E12*F12</f>
        <v>41.188198128</v>
      </c>
      <c r="K12" s="7">
        <f>2357.223025311*E12*F12</f>
        <v>23.572230253110003</v>
      </c>
      <c r="L12" s="11">
        <f>865.29828*E12*F12</f>
        <v>8.6529828</v>
      </c>
      <c r="M12" s="13">
        <f t="shared" si="0"/>
        <v>256.72264403511</v>
      </c>
      <c r="N12" s="16">
        <f t="shared" si="2"/>
        <v>296.5146538605521</v>
      </c>
      <c r="O12" s="17">
        <f t="shared" si="3"/>
        <v>0.03459268443004248</v>
      </c>
    </row>
    <row r="13" spans="2:15" ht="12">
      <c r="B13" s="4">
        <v>10</v>
      </c>
      <c r="C13" s="5" t="s">
        <v>25</v>
      </c>
      <c r="D13" s="5" t="s">
        <v>26</v>
      </c>
      <c r="E13" s="6">
        <v>1</v>
      </c>
      <c r="F13" s="6">
        <v>0.3</v>
      </c>
      <c r="G13" s="7">
        <f>969.743742*E13*F13</f>
        <v>290.9231226</v>
      </c>
      <c r="H13" s="7">
        <f>2216.4969*E13*F13</f>
        <v>664.94907</v>
      </c>
      <c r="I13" s="7">
        <f t="shared" si="1"/>
        <v>0</v>
      </c>
      <c r="J13" s="7">
        <f>923.196042384*E13*F13</f>
        <v>276.9588127152</v>
      </c>
      <c r="K13" s="7">
        <f>431.49085186032*E13*F13</f>
        <v>129.447255558096</v>
      </c>
      <c r="L13" s="11">
        <f>193.9487484*E13*F13</f>
        <v>58.18462452</v>
      </c>
      <c r="M13" s="13">
        <f t="shared" si="0"/>
        <v>1420.462885393296</v>
      </c>
      <c r="N13" s="16">
        <f t="shared" si="2"/>
        <v>1640.6346326292569</v>
      </c>
      <c r="O13" s="17">
        <f t="shared" si="3"/>
        <v>0.19140354573583193</v>
      </c>
    </row>
    <row r="14" spans="2:15" ht="12">
      <c r="B14" s="4">
        <v>11</v>
      </c>
      <c r="C14" s="5" t="s">
        <v>27</v>
      </c>
      <c r="D14" s="5" t="s">
        <v>14</v>
      </c>
      <c r="E14" s="6">
        <v>0.01</v>
      </c>
      <c r="F14" s="6">
        <v>1</v>
      </c>
      <c r="G14" s="7">
        <f>38316.2472*E14*F14</f>
        <v>383.162472</v>
      </c>
      <c r="H14" s="7">
        <f>148064.917737*E14*F14</f>
        <v>1480.6491773700002</v>
      </c>
      <c r="I14" s="7">
        <f t="shared" si="1"/>
        <v>0</v>
      </c>
      <c r="J14" s="7">
        <f>36477.0673344*E14*F14</f>
        <v>364.77067334400004</v>
      </c>
      <c r="K14" s="7">
        <f>23400.114388497*E14*F14</f>
        <v>234.00114388497002</v>
      </c>
      <c r="L14" s="11">
        <f>7663.24944*E14*F14</f>
        <v>76.6324944</v>
      </c>
      <c r="M14" s="13">
        <f t="shared" si="0"/>
        <v>2539.2159609989703</v>
      </c>
      <c r="N14" s="16">
        <f t="shared" si="2"/>
        <v>2932.7944349538107</v>
      </c>
      <c r="O14" s="17">
        <f t="shared" si="3"/>
        <v>0.3421525076944574</v>
      </c>
    </row>
    <row r="15" spans="2:15" ht="24">
      <c r="B15" s="4">
        <v>12</v>
      </c>
      <c r="C15" s="5" t="s">
        <v>28</v>
      </c>
      <c r="D15" s="5" t="s">
        <v>29</v>
      </c>
      <c r="E15" s="6">
        <v>0.05</v>
      </c>
      <c r="F15" s="6">
        <v>1</v>
      </c>
      <c r="G15" s="7">
        <f>1181.01522*E15*F15</f>
        <v>59.050761</v>
      </c>
      <c r="H15" s="7">
        <f>516.4838265*E15*F15</f>
        <v>25.824191325</v>
      </c>
      <c r="I15" s="7">
        <f t="shared" si="1"/>
        <v>0</v>
      </c>
      <c r="J15" s="7">
        <f>1124.32648944*E15*F15</f>
        <v>56.216324472</v>
      </c>
      <c r="K15" s="7">
        <f>296.2916812737*E15*F15</f>
        <v>14.814584063685002</v>
      </c>
      <c r="L15" s="11">
        <f>236.203044*E15*F15</f>
        <v>11.810152200000001</v>
      </c>
      <c r="M15" s="13">
        <f t="shared" si="0"/>
        <v>167.71601306068501</v>
      </c>
      <c r="N15" s="16">
        <f t="shared" si="2"/>
        <v>193.7119950850912</v>
      </c>
      <c r="O15" s="17">
        <f t="shared" si="3"/>
        <v>0.022599280774311822</v>
      </c>
    </row>
    <row r="16" spans="2:15" ht="12">
      <c r="B16" s="4">
        <v>13</v>
      </c>
      <c r="C16" s="5" t="s">
        <v>30</v>
      </c>
      <c r="D16" s="5" t="s">
        <v>31</v>
      </c>
      <c r="E16" s="6">
        <v>1</v>
      </c>
      <c r="F16" s="6">
        <v>0.2</v>
      </c>
      <c r="G16" s="7">
        <f>400.898784*E16*F16</f>
        <v>80.1797568</v>
      </c>
      <c r="H16" s="7">
        <f>25158.5704659*E16*F16</f>
        <v>5031.71409318</v>
      </c>
      <c r="I16" s="7">
        <f t="shared" si="1"/>
        <v>0</v>
      </c>
      <c r="J16" s="7">
        <f>381.655642368*E16*F16</f>
        <v>76.3311284736</v>
      </c>
      <c r="K16" s="7">
        <f>2723.8181136881*E16*F16</f>
        <v>544.76362273762</v>
      </c>
      <c r="L16" s="11">
        <f>80.1797568*E16*F16</f>
        <v>16.035951360000002</v>
      </c>
      <c r="M16" s="13">
        <f t="shared" si="0"/>
        <v>5749.02455255122</v>
      </c>
      <c r="N16" s="16">
        <f t="shared" si="2"/>
        <v>6640.123358196659</v>
      </c>
      <c r="O16" s="17">
        <f t="shared" si="3"/>
        <v>0.7746655651449741</v>
      </c>
    </row>
    <row r="17" spans="2:15" ht="12">
      <c r="B17" s="4">
        <v>14</v>
      </c>
      <c r="C17" s="5" t="s">
        <v>32</v>
      </c>
      <c r="D17" s="5" t="s">
        <v>33</v>
      </c>
      <c r="E17" s="6">
        <v>2</v>
      </c>
      <c r="F17" s="6">
        <v>1</v>
      </c>
      <c r="G17" s="7">
        <f>22.217118*E17*F17</f>
        <v>44.434236</v>
      </c>
      <c r="H17" s="7">
        <f>62.8407*E17*F17</f>
        <v>125.6814</v>
      </c>
      <c r="I17" s="7">
        <f t="shared" si="1"/>
        <v>0</v>
      </c>
      <c r="J17" s="7">
        <f>21.150696336*E17*F17</f>
        <v>42.301392672</v>
      </c>
      <c r="K17" s="7">
        <f>11.15189400528*E17*F17</f>
        <v>22.30378801056</v>
      </c>
      <c r="L17" s="11">
        <f>4.4434236*E17*F17</f>
        <v>8.8868472</v>
      </c>
      <c r="M17" s="13">
        <f t="shared" si="0"/>
        <v>243.60766388256</v>
      </c>
      <c r="N17" s="16">
        <f t="shared" si="2"/>
        <v>281.3668517843568</v>
      </c>
      <c r="O17" s="17">
        <f t="shared" si="3"/>
        <v>0.03282547619865099</v>
      </c>
    </row>
    <row r="18" spans="2:15" ht="24">
      <c r="B18" s="4">
        <v>15</v>
      </c>
      <c r="C18" s="5" t="s">
        <v>34</v>
      </c>
      <c r="D18" s="5" t="s">
        <v>35</v>
      </c>
      <c r="E18" s="6">
        <v>1</v>
      </c>
      <c r="F18" s="6">
        <v>1</v>
      </c>
      <c r="G18" s="7">
        <f>53.788812*E18*F18</f>
        <v>53.788812</v>
      </c>
      <c r="H18" s="7">
        <f>932.7538458*E18*F18</f>
        <v>932.7538458</v>
      </c>
      <c r="I18" s="7">
        <f t="shared" si="1"/>
        <v>0</v>
      </c>
      <c r="J18" s="7">
        <f>51.206949024*E18*F18</f>
        <v>51.206949024</v>
      </c>
      <c r="K18" s="7">
        <f>108.96370871652*E18*F18</f>
        <v>108.96370871652</v>
      </c>
      <c r="L18" s="11">
        <f>10.7577624*E18*F18</f>
        <v>10.7577624</v>
      </c>
      <c r="M18" s="13">
        <f t="shared" si="0"/>
        <v>1157.47107794052</v>
      </c>
      <c r="N18" s="16">
        <f t="shared" si="2"/>
        <v>1336.8790950213006</v>
      </c>
      <c r="O18" s="17">
        <f t="shared" si="3"/>
        <v>0.15596610843031647</v>
      </c>
    </row>
    <row r="19" spans="2:15" ht="36">
      <c r="B19" s="4">
        <v>16</v>
      </c>
      <c r="C19" s="5" t="s">
        <v>36</v>
      </c>
      <c r="D19" s="5" t="s">
        <v>37</v>
      </c>
      <c r="E19" s="6">
        <v>0.039</v>
      </c>
      <c r="F19" s="6">
        <v>1</v>
      </c>
      <c r="G19" s="7">
        <f>2716.61676*E19*F19</f>
        <v>105.94805364</v>
      </c>
      <c r="H19" s="7">
        <f>2223.039763968*E19*F19</f>
        <v>86.698550794752</v>
      </c>
      <c r="I19" s="7">
        <f t="shared" si="1"/>
        <v>0</v>
      </c>
      <c r="J19" s="7">
        <f>2586.21915552*E19*F19</f>
        <v>100.86254706528001</v>
      </c>
      <c r="K19" s="7">
        <f>790.21694634624*E19*F19</f>
        <v>30.818460907503358</v>
      </c>
      <c r="L19" s="11">
        <f>543.323352*E19*F19</f>
        <v>21.189610728</v>
      </c>
      <c r="M19" s="13">
        <f t="shared" si="0"/>
        <v>345.51722313553535</v>
      </c>
      <c r="N19" s="16">
        <f t="shared" si="2"/>
        <v>399.07239272154334</v>
      </c>
      <c r="O19" s="17">
        <f t="shared" si="3"/>
        <v>0.04655751466722005</v>
      </c>
    </row>
    <row r="20" spans="2:15" ht="24">
      <c r="B20" s="4">
        <v>17</v>
      </c>
      <c r="C20" s="5" t="s">
        <v>38</v>
      </c>
      <c r="D20" s="5" t="s">
        <v>39</v>
      </c>
      <c r="E20" s="6">
        <v>0.5</v>
      </c>
      <c r="F20" s="6">
        <v>2</v>
      </c>
      <c r="G20" s="7">
        <f>45.603558*E20*F20</f>
        <v>45.603558</v>
      </c>
      <c r="H20" s="7">
        <f aca="true" t="shared" si="4" ref="H20:H28">0*E20*F20</f>
        <v>0</v>
      </c>
      <c r="I20" s="7">
        <f t="shared" si="1"/>
        <v>0</v>
      </c>
      <c r="J20" s="7">
        <f>43.414587216*E20*F20</f>
        <v>43.414587216</v>
      </c>
      <c r="K20" s="7">
        <f>9.34690524768*E20*F20</f>
        <v>9.34690524768</v>
      </c>
      <c r="L20" s="11">
        <f>9.1207116*E20*F20</f>
        <v>9.1207116</v>
      </c>
      <c r="M20" s="13">
        <f t="shared" si="0"/>
        <v>107.48576206368</v>
      </c>
      <c r="N20" s="16">
        <f t="shared" si="2"/>
        <v>124.1460551835504</v>
      </c>
      <c r="O20" s="17">
        <f t="shared" si="3"/>
        <v>0.014483416769745487</v>
      </c>
    </row>
    <row r="21" spans="2:15" ht="24">
      <c r="B21" s="4">
        <v>18</v>
      </c>
      <c r="C21" s="5" t="s">
        <v>40</v>
      </c>
      <c r="D21" s="5" t="s">
        <v>39</v>
      </c>
      <c r="E21" s="6">
        <v>0.039</v>
      </c>
      <c r="F21" s="6">
        <v>2</v>
      </c>
      <c r="G21" s="7">
        <f>363.659142*E21*F21</f>
        <v>28.365413076</v>
      </c>
      <c r="H21" s="7">
        <f t="shared" si="4"/>
        <v>0</v>
      </c>
      <c r="I21" s="7">
        <f t="shared" si="1"/>
        <v>0</v>
      </c>
      <c r="J21" s="7">
        <f>346.203503184*E21*F21</f>
        <v>27.003873248352</v>
      </c>
      <c r="K21" s="7">
        <f>74.53557774432*E21*F21</f>
        <v>5.813775064056959</v>
      </c>
      <c r="L21" s="11">
        <f>72.7318284*E21*F21</f>
        <v>5.6730826152</v>
      </c>
      <c r="M21" s="13">
        <f t="shared" si="0"/>
        <v>66.85614400360896</v>
      </c>
      <c r="N21" s="16">
        <f t="shared" si="2"/>
        <v>77.21884632416835</v>
      </c>
      <c r="O21" s="17">
        <f t="shared" si="3"/>
        <v>0.009008685230781693</v>
      </c>
    </row>
    <row r="22" spans="2:15" ht="24">
      <c r="B22" s="4">
        <v>19</v>
      </c>
      <c r="C22" s="5" t="s">
        <v>41</v>
      </c>
      <c r="D22" s="5" t="s">
        <v>39</v>
      </c>
      <c r="E22" s="6">
        <v>0.039</v>
      </c>
      <c r="F22" s="6">
        <v>2</v>
      </c>
      <c r="G22" s="7">
        <f>1292.37108*E22*F22</f>
        <v>100.80494424</v>
      </c>
      <c r="H22" s="7">
        <f t="shared" si="4"/>
        <v>0</v>
      </c>
      <c r="I22" s="7">
        <f t="shared" si="1"/>
        <v>0</v>
      </c>
      <c r="J22" s="7">
        <f>1230.33726816*E22*F22</f>
        <v>95.96630691648</v>
      </c>
      <c r="K22" s="7">
        <f>264.8843765568*E22*F22</f>
        <v>20.660981371430402</v>
      </c>
      <c r="L22" s="11">
        <f>258.474216*E22*F22</f>
        <v>20.160988848000002</v>
      </c>
      <c r="M22" s="13">
        <f t="shared" si="0"/>
        <v>237.5932213759104</v>
      </c>
      <c r="N22" s="16">
        <f t="shared" si="2"/>
        <v>274.42017068917653</v>
      </c>
      <c r="O22" s="17">
        <f t="shared" si="3"/>
        <v>0.03201504627947834</v>
      </c>
    </row>
    <row r="23" spans="2:15" ht="24">
      <c r="B23" s="4">
        <v>20</v>
      </c>
      <c r="C23" s="5" t="s">
        <v>42</v>
      </c>
      <c r="D23" s="5" t="s">
        <v>39</v>
      </c>
      <c r="E23" s="6">
        <v>0.039</v>
      </c>
      <c r="F23" s="6">
        <v>2</v>
      </c>
      <c r="G23" s="7">
        <f>329.6865*E23*F23</f>
        <v>25.715547</v>
      </c>
      <c r="H23" s="7">
        <f t="shared" si="4"/>
        <v>0</v>
      </c>
      <c r="I23" s="7">
        <f t="shared" si="1"/>
        <v>0</v>
      </c>
      <c r="J23" s="7">
        <f>313.861548*E23*F23</f>
        <v>24.481200744000002</v>
      </c>
      <c r="K23" s="7">
        <f>67.57254504*E23*F23</f>
        <v>5.27065851312</v>
      </c>
      <c r="L23" s="11">
        <f>65.9373*E23*F23</f>
        <v>5.143109399999999</v>
      </c>
      <c r="M23" s="13">
        <f t="shared" si="0"/>
        <v>60.610515657120004</v>
      </c>
      <c r="N23" s="16">
        <f t="shared" si="2"/>
        <v>70.0051455839736</v>
      </c>
      <c r="O23" s="17">
        <f t="shared" si="3"/>
        <v>0.008167103642724065</v>
      </c>
    </row>
    <row r="24" spans="2:15" ht="12">
      <c r="B24" s="4">
        <v>21</v>
      </c>
      <c r="C24" s="5" t="s">
        <v>43</v>
      </c>
      <c r="D24" s="5" t="s">
        <v>44</v>
      </c>
      <c r="E24" s="6">
        <v>0.039</v>
      </c>
      <c r="F24" s="6">
        <v>2</v>
      </c>
      <c r="G24" s="7">
        <f>276.93666*E24*F24</f>
        <v>21.60105948</v>
      </c>
      <c r="H24" s="7">
        <f t="shared" si="4"/>
        <v>0</v>
      </c>
      <c r="I24" s="7">
        <f t="shared" si="1"/>
        <v>0</v>
      </c>
      <c r="J24" s="7">
        <f>263.64370032*E24*F24</f>
        <v>20.56420862496</v>
      </c>
      <c r="K24" s="7">
        <f>56.7609378336*E24*F24</f>
        <v>4.4273531510208</v>
      </c>
      <c r="L24" s="11">
        <f>55.387332*E24*F24</f>
        <v>4.320211896</v>
      </c>
      <c r="M24" s="13">
        <f t="shared" si="0"/>
        <v>50.912833151980806</v>
      </c>
      <c r="N24" s="16">
        <f t="shared" si="2"/>
        <v>58.80432229053783</v>
      </c>
      <c r="O24" s="17">
        <f t="shared" si="3"/>
        <v>0.006860367059888216</v>
      </c>
    </row>
    <row r="25" spans="2:15" ht="24">
      <c r="B25" s="4">
        <v>22</v>
      </c>
      <c r="C25" s="5" t="s">
        <v>45</v>
      </c>
      <c r="D25" s="5" t="s">
        <v>39</v>
      </c>
      <c r="E25" s="6">
        <v>0.039</v>
      </c>
      <c r="F25" s="6">
        <v>2</v>
      </c>
      <c r="G25" s="7">
        <f>527.4984*E25*F25</f>
        <v>41.144875199999994</v>
      </c>
      <c r="H25" s="7">
        <f t="shared" si="4"/>
        <v>0</v>
      </c>
      <c r="I25" s="7">
        <f t="shared" si="1"/>
        <v>0</v>
      </c>
      <c r="J25" s="7">
        <f>502.1784768*E25*F25</f>
        <v>39.1699211904</v>
      </c>
      <c r="K25" s="7">
        <f>108.116072064*E25*F25</f>
        <v>8.433053620992</v>
      </c>
      <c r="L25" s="11">
        <f>105.49968*E25*F25</f>
        <v>8.22897504</v>
      </c>
      <c r="M25" s="13">
        <f t="shared" si="0"/>
        <v>96.97682505139198</v>
      </c>
      <c r="N25" s="16">
        <f t="shared" si="2"/>
        <v>112.00823293435775</v>
      </c>
      <c r="O25" s="17">
        <f t="shared" si="3"/>
        <v>0.013067365828358504</v>
      </c>
    </row>
    <row r="26" spans="2:15" ht="24">
      <c r="B26" s="4">
        <v>23</v>
      </c>
      <c r="C26" s="5" t="s">
        <v>46</v>
      </c>
      <c r="D26" s="5" t="s">
        <v>47</v>
      </c>
      <c r="E26" s="6">
        <v>0.3</v>
      </c>
      <c r="F26" s="6">
        <v>2</v>
      </c>
      <c r="G26" s="7">
        <f>342.87396*E26*F26</f>
        <v>205.724376</v>
      </c>
      <c r="H26" s="7">
        <f t="shared" si="4"/>
        <v>0</v>
      </c>
      <c r="I26" s="7">
        <f t="shared" si="1"/>
        <v>0</v>
      </c>
      <c r="J26" s="7">
        <f>326.41600992*E26*F26</f>
        <v>195.84960595200002</v>
      </c>
      <c r="K26" s="7">
        <f>70.2754468416*E26*F26</f>
        <v>42.16526810496</v>
      </c>
      <c r="L26" s="11">
        <f>68.574792*E26*F26</f>
        <v>41.1448752</v>
      </c>
      <c r="M26" s="13">
        <f t="shared" si="0"/>
        <v>484.88412525696003</v>
      </c>
      <c r="N26" s="16">
        <f t="shared" si="2"/>
        <v>560.0411646717888</v>
      </c>
      <c r="O26" s="17">
        <f t="shared" si="3"/>
        <v>0.06533682914179252</v>
      </c>
    </row>
    <row r="27" spans="2:15" ht="24">
      <c r="B27" s="4">
        <v>24</v>
      </c>
      <c r="C27" s="5" t="s">
        <v>48</v>
      </c>
      <c r="D27" s="5" t="s">
        <v>49</v>
      </c>
      <c r="E27" s="6">
        <v>0.22</v>
      </c>
      <c r="F27" s="6">
        <v>1</v>
      </c>
      <c r="G27" s="7">
        <f>7912.476*E27*F27</f>
        <v>1740.74472</v>
      </c>
      <c r="H27" s="7">
        <f t="shared" si="4"/>
        <v>0</v>
      </c>
      <c r="I27" s="7">
        <f t="shared" si="1"/>
        <v>0</v>
      </c>
      <c r="J27" s="7">
        <f>7532.677152*E27*F27</f>
        <v>1657.1889734400002</v>
      </c>
      <c r="K27" s="7">
        <f>1621.74108096*E27*F27</f>
        <v>356.7830378112</v>
      </c>
      <c r="L27" s="11">
        <f>1582.4952*E27*F27</f>
        <v>348.14894400000003</v>
      </c>
      <c r="M27" s="13">
        <f t="shared" si="0"/>
        <v>4102.8656752512</v>
      </c>
      <c r="N27" s="16">
        <f t="shared" si="2"/>
        <v>4738.8098549151355</v>
      </c>
      <c r="O27" s="17">
        <f t="shared" si="3"/>
        <v>0.5528500927382444</v>
      </c>
    </row>
    <row r="28" spans="2:15" ht="12">
      <c r="B28" s="4">
        <v>25</v>
      </c>
      <c r="C28" s="5" t="s">
        <v>50</v>
      </c>
      <c r="D28" s="5" t="s">
        <v>51</v>
      </c>
      <c r="E28" s="6">
        <v>2</v>
      </c>
      <c r="F28" s="6">
        <v>1</v>
      </c>
      <c r="G28" s="7">
        <f>114.730902*E28*F28</f>
        <v>229.461804</v>
      </c>
      <c r="H28" s="7">
        <f t="shared" si="4"/>
        <v>0</v>
      </c>
      <c r="I28" s="7">
        <f t="shared" si="1"/>
        <v>0</v>
      </c>
      <c r="J28" s="7">
        <f>109.223818704*E28*F28</f>
        <v>218.447637408</v>
      </c>
      <c r="K28" s="7">
        <f>23.51524567392*E28*F28</f>
        <v>47.03049134784</v>
      </c>
      <c r="L28" s="11">
        <f>22.9461804*E28*F28</f>
        <v>45.8923608</v>
      </c>
      <c r="M28" s="13">
        <f t="shared" si="0"/>
        <v>540.83229355584</v>
      </c>
      <c r="N28" s="16">
        <f t="shared" si="2"/>
        <v>624.6612990569952</v>
      </c>
      <c r="O28" s="17">
        <f t="shared" si="3"/>
        <v>0.07287569404276859</v>
      </c>
    </row>
    <row r="29" spans="2:15" ht="36">
      <c r="B29" s="4">
        <v>26</v>
      </c>
      <c r="C29" s="5" t="s">
        <v>52</v>
      </c>
      <c r="D29" s="5" t="s">
        <v>53</v>
      </c>
      <c r="E29" s="6">
        <v>0.015</v>
      </c>
      <c r="F29" s="6">
        <v>1</v>
      </c>
      <c r="G29" s="7">
        <f>4141.3878*E29*F29</f>
        <v>62.120817</v>
      </c>
      <c r="H29" s="7">
        <f>676.8955065*E29*F29</f>
        <v>10.1534325975</v>
      </c>
      <c r="I29" s="7">
        <f t="shared" si="1"/>
        <v>0</v>
      </c>
      <c r="J29" s="7">
        <f>3942.6011856*E29*F29</f>
        <v>59.139017783999996</v>
      </c>
      <c r="K29" s="7">
        <f>919.8928716705*E29*F29</f>
        <v>13.798393075057499</v>
      </c>
      <c r="L29" s="11">
        <f>828.27756*E29*F29</f>
        <v>12.4241634</v>
      </c>
      <c r="M29" s="13">
        <f t="shared" si="0"/>
        <v>157.6358238565575</v>
      </c>
      <c r="N29" s="16">
        <f t="shared" si="2"/>
        <v>182.0693765543239</v>
      </c>
      <c r="O29" s="17">
        <f t="shared" si="3"/>
        <v>0.021241002444622233</v>
      </c>
    </row>
    <row r="30" spans="2:15" ht="24">
      <c r="B30" s="4">
        <v>27</v>
      </c>
      <c r="C30" s="5" t="s">
        <v>54</v>
      </c>
      <c r="D30" s="5" t="s">
        <v>55</v>
      </c>
      <c r="E30" s="6">
        <v>0.7</v>
      </c>
      <c r="F30" s="6">
        <v>1</v>
      </c>
      <c r="G30" s="7">
        <f>491.11524*E30*F30</f>
        <v>343.78066799999993</v>
      </c>
      <c r="H30" s="7">
        <f>0*E30*F30</f>
        <v>0</v>
      </c>
      <c r="I30" s="7">
        <f t="shared" si="1"/>
        <v>0</v>
      </c>
      <c r="J30" s="7">
        <f>467.54170848*E30*F30</f>
        <v>327.279195936</v>
      </c>
      <c r="K30" s="7">
        <f>100.6589795904*E30*F30</f>
        <v>70.46128571327999</v>
      </c>
      <c r="L30" s="11">
        <f>98.223048*E30*F30</f>
        <v>68.7561336</v>
      </c>
      <c r="M30" s="13">
        <f t="shared" si="0"/>
        <v>810.2772832492799</v>
      </c>
      <c r="N30" s="16">
        <f t="shared" si="2"/>
        <v>935.8702621529183</v>
      </c>
      <c r="O30" s="17">
        <f t="shared" si="3"/>
        <v>0.10918268026423518</v>
      </c>
    </row>
    <row r="31" spans="2:15" ht="24">
      <c r="B31" s="4">
        <v>28</v>
      </c>
      <c r="C31" s="5" t="s">
        <v>56</v>
      </c>
      <c r="D31" s="5" t="s">
        <v>57</v>
      </c>
      <c r="E31" s="6">
        <v>0.06</v>
      </c>
      <c r="F31" s="6">
        <v>1</v>
      </c>
      <c r="G31" s="7">
        <f>1186.8714*E31*F31</f>
        <v>71.212284</v>
      </c>
      <c r="H31" s="7">
        <f>0*E31*F31</f>
        <v>0</v>
      </c>
      <c r="I31" s="7">
        <f t="shared" si="1"/>
        <v>0</v>
      </c>
      <c r="J31" s="7">
        <f>1129.9015728*E31*F31</f>
        <v>67.79409436799999</v>
      </c>
      <c r="K31" s="7">
        <f>243.261162144*E31*F31</f>
        <v>14.595669728639999</v>
      </c>
      <c r="L31" s="11">
        <f>237.37428*E31*F31</f>
        <v>14.2424568</v>
      </c>
      <c r="M31" s="13">
        <f t="shared" si="0"/>
        <v>167.84450489664</v>
      </c>
      <c r="N31" s="16">
        <f t="shared" si="2"/>
        <v>193.8604031556192</v>
      </c>
      <c r="O31" s="17">
        <f t="shared" si="3"/>
        <v>0.02261659470292818</v>
      </c>
    </row>
    <row r="32" spans="2:15" ht="24">
      <c r="B32" s="4">
        <v>29</v>
      </c>
      <c r="C32" s="5" t="s">
        <v>58</v>
      </c>
      <c r="D32" s="5" t="s">
        <v>59</v>
      </c>
      <c r="E32" s="6">
        <v>0.05</v>
      </c>
      <c r="F32" s="6">
        <v>1</v>
      </c>
      <c r="G32" s="7">
        <f>6548.2032*E32*F32</f>
        <v>327.41016</v>
      </c>
      <c r="H32" s="7">
        <f>0*E32*F32</f>
        <v>0</v>
      </c>
      <c r="I32" s="7">
        <f t="shared" si="1"/>
        <v>0</v>
      </c>
      <c r="J32" s="7">
        <f>6233.8894464*E32*F32</f>
        <v>311.69447232000005</v>
      </c>
      <c r="K32" s="7">
        <f>1342.119727872*E32*F32</f>
        <v>67.1059863936</v>
      </c>
      <c r="L32" s="11">
        <f>1309.64064*E32*F32</f>
        <v>65.482032</v>
      </c>
      <c r="M32" s="13">
        <f t="shared" si="0"/>
        <v>771.6926507136001</v>
      </c>
      <c r="N32" s="16">
        <f t="shared" si="2"/>
        <v>891.3050115742082</v>
      </c>
      <c r="O32" s="17">
        <f t="shared" si="3"/>
        <v>0.10398350501355735</v>
      </c>
    </row>
    <row r="33" spans="2:15" ht="24">
      <c r="B33" s="4">
        <v>30</v>
      </c>
      <c r="C33" s="5" t="s">
        <v>60</v>
      </c>
      <c r="D33" s="5" t="s">
        <v>61</v>
      </c>
      <c r="E33" s="6">
        <v>0.02</v>
      </c>
      <c r="F33" s="6">
        <v>1</v>
      </c>
      <c r="G33" s="7">
        <f>2221.7118*E33*F33</f>
        <v>44.434236</v>
      </c>
      <c r="H33" s="7">
        <f>0*E33*F33</f>
        <v>0</v>
      </c>
      <c r="I33" s="7">
        <f t="shared" si="1"/>
        <v>0</v>
      </c>
      <c r="J33" s="7">
        <f>2115.0696336*E33*F33</f>
        <v>42.301392672000006</v>
      </c>
      <c r="K33" s="7">
        <f>455.362050528*E33*F33</f>
        <v>9.107241010560001</v>
      </c>
      <c r="L33" s="11">
        <f>444.34236*E33*F33</f>
        <v>8.8868472</v>
      </c>
      <c r="M33" s="13">
        <f t="shared" si="0"/>
        <v>104.72971688256001</v>
      </c>
      <c r="N33" s="16">
        <f t="shared" si="2"/>
        <v>120.96282299935682</v>
      </c>
      <c r="O33" s="17">
        <f t="shared" si="3"/>
        <v>0.014112047108982784</v>
      </c>
    </row>
    <row r="34" spans="2:15" ht="60">
      <c r="B34" s="4">
        <v>31</v>
      </c>
      <c r="C34" s="5" t="s">
        <v>62</v>
      </c>
      <c r="D34" s="5" t="s">
        <v>63</v>
      </c>
      <c r="E34" s="6">
        <v>0.714</v>
      </c>
      <c r="F34" s="6">
        <v>1</v>
      </c>
      <c r="G34" s="7">
        <f>1590.889344*E34*F34</f>
        <v>1135.894991616</v>
      </c>
      <c r="H34" s="7">
        <f>0*E34*F34</f>
        <v>0</v>
      </c>
      <c r="I34" s="7">
        <f t="shared" si="1"/>
        <v>0</v>
      </c>
      <c r="J34" s="7">
        <f>1514.526655488*E34*F34</f>
        <v>1081.3720320184318</v>
      </c>
      <c r="K34" s="7">
        <f>326.06867994624*E34*F34</f>
        <v>232.81303748161537</v>
      </c>
      <c r="L34" s="11">
        <f>318.1778688*E34*F34</f>
        <v>227.17899832319998</v>
      </c>
      <c r="M34" s="13">
        <f t="shared" si="0"/>
        <v>2677.2590594392477</v>
      </c>
      <c r="N34" s="16">
        <f t="shared" si="2"/>
        <v>3092.234213652331</v>
      </c>
      <c r="O34" s="17">
        <f t="shared" si="3"/>
        <v>0.36075344319057484</v>
      </c>
    </row>
    <row r="35" spans="2:15" ht="24">
      <c r="B35" s="4">
        <v>32</v>
      </c>
      <c r="C35" s="5" t="s">
        <v>64</v>
      </c>
      <c r="D35" s="5" t="s">
        <v>65</v>
      </c>
      <c r="E35" s="6">
        <v>0.3</v>
      </c>
      <c r="F35" s="6">
        <v>20</v>
      </c>
      <c r="G35" s="7">
        <f>213.884748*E35*F35</f>
        <v>1283.308488</v>
      </c>
      <c r="H35" s="7">
        <f>5.320242*E35*F35</f>
        <v>31.921452000000002</v>
      </c>
      <c r="I35" s="7">
        <f t="shared" si="1"/>
        <v>0</v>
      </c>
      <c r="J35" s="7">
        <f>203.618280096*E35*F35</f>
        <v>1221.709680576</v>
      </c>
      <c r="K35" s="7">
        <f>44.39644336008*E35*F35</f>
        <v>266.37866016047997</v>
      </c>
      <c r="L35" s="11">
        <f>42.7769496*E35*F35</f>
        <v>256.66169759999997</v>
      </c>
      <c r="M35" s="13">
        <f t="shared" si="0"/>
        <v>3059.97997833648</v>
      </c>
      <c r="N35" s="16">
        <f t="shared" si="2"/>
        <v>3534.2768749786346</v>
      </c>
      <c r="O35" s="17">
        <f t="shared" si="3"/>
        <v>0.41232405559972873</v>
      </c>
    </row>
    <row r="36" spans="2:15" ht="24">
      <c r="B36" s="4">
        <v>33</v>
      </c>
      <c r="C36" s="5" t="s">
        <v>66</v>
      </c>
      <c r="D36" s="5" t="s">
        <v>67</v>
      </c>
      <c r="E36" s="6">
        <v>0.03</v>
      </c>
      <c r="F36" s="6">
        <v>6</v>
      </c>
      <c r="G36" s="7">
        <f>3449.754*E36*F36</f>
        <v>620.9557199999999</v>
      </c>
      <c r="H36" s="7">
        <f>73.799754*E36*F36</f>
        <v>13.283955719999998</v>
      </c>
      <c r="I36" s="7">
        <f t="shared" si="1"/>
        <v>0</v>
      </c>
      <c r="J36" s="7">
        <f>3284.165808*E36*F36</f>
        <v>591.14984544</v>
      </c>
      <c r="K36" s="7">
        <f>714.81055401*E36*F36</f>
        <v>128.6658997218</v>
      </c>
      <c r="L36" s="11">
        <f>689.9508*E36*F36</f>
        <v>124.191144</v>
      </c>
      <c r="M36" s="13">
        <f t="shared" si="0"/>
        <v>1478.2465648818</v>
      </c>
      <c r="N36" s="16">
        <f t="shared" si="2"/>
        <v>1707.3747824384789</v>
      </c>
      <c r="O36" s="17">
        <f t="shared" si="3"/>
        <v>0.19918974082300608</v>
      </c>
    </row>
    <row r="37" spans="2:15" ht="24">
      <c r="B37" s="4">
        <v>34</v>
      </c>
      <c r="C37" s="5" t="s">
        <v>68</v>
      </c>
      <c r="D37" s="5" t="s">
        <v>67</v>
      </c>
      <c r="E37" s="6">
        <v>0.03</v>
      </c>
      <c r="F37" s="6">
        <v>10</v>
      </c>
      <c r="G37" s="7">
        <f>14784.66*E37*F37</f>
        <v>4435.397999999999</v>
      </c>
      <c r="H37" s="7">
        <f>246.30012*E37*F37</f>
        <v>73.890036</v>
      </c>
      <c r="I37" s="7">
        <f t="shared" si="1"/>
        <v>0</v>
      </c>
      <c r="J37" s="7">
        <f>14074.99632*E37*F37</f>
        <v>4222.498896</v>
      </c>
      <c r="K37" s="7">
        <f>3056.1254262*E37*F37</f>
        <v>916.83762786</v>
      </c>
      <c r="L37" s="11">
        <f>2956.932*E37*F37</f>
        <v>887.0795999999998</v>
      </c>
      <c r="M37" s="13">
        <f t="shared" si="0"/>
        <v>10535.704159859999</v>
      </c>
      <c r="N37" s="16">
        <f t="shared" si="2"/>
        <v>12168.738304638298</v>
      </c>
      <c r="O37" s="17">
        <f t="shared" si="3"/>
        <v>1.4196577423862873</v>
      </c>
    </row>
    <row r="38" spans="2:15" ht="36">
      <c r="B38" s="4">
        <v>35</v>
      </c>
      <c r="C38" s="5" t="s">
        <v>69</v>
      </c>
      <c r="D38" s="5" t="s">
        <v>67</v>
      </c>
      <c r="E38" s="6">
        <v>0.03</v>
      </c>
      <c r="F38" s="6">
        <v>2</v>
      </c>
      <c r="G38" s="7">
        <f>69816.121452*E38*F38</f>
        <v>4188.96728712</v>
      </c>
      <c r="H38" s="7">
        <f>174.90108*E38*F38</f>
        <v>10.4940648</v>
      </c>
      <c r="I38" s="7">
        <f t="shared" si="1"/>
        <v>0</v>
      </c>
      <c r="J38" s="7">
        <f>66464.947622304*E38*F38</f>
        <v>3987.8968573382394</v>
      </c>
      <c r="K38" s="7">
        <f>14327.876866202*E38*F38</f>
        <v>859.67261197212</v>
      </c>
      <c r="L38" s="11">
        <f>13963.2242904*E38*F38</f>
        <v>837.7934574239999</v>
      </c>
      <c r="M38" s="13">
        <f t="shared" si="0"/>
        <v>9884.824278654361</v>
      </c>
      <c r="N38" s="16">
        <f t="shared" si="2"/>
        <v>11416.972041845787</v>
      </c>
      <c r="O38" s="17">
        <f t="shared" si="3"/>
        <v>1.3319534324800257</v>
      </c>
    </row>
    <row r="39" spans="2:15" ht="12">
      <c r="B39" s="4">
        <v>36</v>
      </c>
      <c r="C39" s="5" t="s">
        <v>70</v>
      </c>
      <c r="D39" s="5" t="s">
        <v>71</v>
      </c>
      <c r="E39" s="6">
        <v>3</v>
      </c>
      <c r="F39" s="6">
        <v>1</v>
      </c>
      <c r="G39" s="7">
        <f>295.6932*E39*F39</f>
        <v>887.0796</v>
      </c>
      <c r="H39" s="7">
        <f>0*E39*F39</f>
        <v>0</v>
      </c>
      <c r="I39" s="7">
        <f t="shared" si="1"/>
        <v>0</v>
      </c>
      <c r="J39" s="7">
        <f>281.4999264*E39*F39</f>
        <v>844.4997791999999</v>
      </c>
      <c r="K39" s="7">
        <f>60.605278272*E39*F39</f>
        <v>181.815834816</v>
      </c>
      <c r="L39" s="11">
        <f>59.13864*E39*F39</f>
        <v>177.41592</v>
      </c>
      <c r="M39" s="13">
        <f t="shared" si="0"/>
        <v>2090.811134016</v>
      </c>
      <c r="N39" s="16">
        <f t="shared" si="2"/>
        <v>2414.88685978848</v>
      </c>
      <c r="O39" s="17">
        <f t="shared" si="3"/>
        <v>0.2817311656853423</v>
      </c>
    </row>
    <row r="40" spans="2:15" ht="12">
      <c r="B40" s="4">
        <v>37</v>
      </c>
      <c r="C40" s="5" t="s">
        <v>72</v>
      </c>
      <c r="D40" s="5" t="s">
        <v>73</v>
      </c>
      <c r="E40" s="6">
        <v>3</v>
      </c>
      <c r="F40" s="6">
        <v>1</v>
      </c>
      <c r="G40" s="7">
        <f>118.27728*E40*F40</f>
        <v>354.83184</v>
      </c>
      <c r="H40" s="7">
        <f>0*E40*F40</f>
        <v>0</v>
      </c>
      <c r="I40" s="7">
        <f t="shared" si="1"/>
        <v>0</v>
      </c>
      <c r="J40" s="7">
        <f>112.59997056*E40*F40</f>
        <v>337.79991168000004</v>
      </c>
      <c r="K40" s="7">
        <f>24.2421113088*E40*F40</f>
        <v>72.7263339264</v>
      </c>
      <c r="L40" s="11">
        <f>23.655456*E40*F40</f>
        <v>70.966368</v>
      </c>
      <c r="M40" s="13">
        <f t="shared" si="0"/>
        <v>836.3244536064</v>
      </c>
      <c r="N40" s="16">
        <f t="shared" si="2"/>
        <v>965.954743915392</v>
      </c>
      <c r="O40" s="17">
        <f t="shared" si="3"/>
        <v>0.11269246627413693</v>
      </c>
    </row>
    <row r="41" spans="2:15" ht="24">
      <c r="B41" s="4">
        <v>38</v>
      </c>
      <c r="C41" s="5" t="s">
        <v>74</v>
      </c>
      <c r="D41" s="5" t="s">
        <v>75</v>
      </c>
      <c r="E41" s="6">
        <v>0.06</v>
      </c>
      <c r="F41" s="6">
        <v>10</v>
      </c>
      <c r="G41" s="7">
        <f>136.018872*E41*F41</f>
        <v>81.61132319999999</v>
      </c>
      <c r="H41" s="7">
        <f>0.69285039*E41*F41</f>
        <v>0.41571023400000007</v>
      </c>
      <c r="I41" s="7">
        <f t="shared" si="1"/>
        <v>0</v>
      </c>
      <c r="J41" s="7">
        <f>129.489966144*E41*F41</f>
        <v>77.69397968639998</v>
      </c>
      <c r="K41" s="7">
        <f>27.95117729607*E41*F41</f>
        <v>16.770706377642</v>
      </c>
      <c r="L41" s="11">
        <f>27.2037744*E41*F41</f>
        <v>16.32226464</v>
      </c>
      <c r="M41" s="13">
        <f t="shared" si="0"/>
        <v>192.81398413804197</v>
      </c>
      <c r="N41" s="16">
        <f t="shared" si="2"/>
        <v>222.70015167943848</v>
      </c>
      <c r="O41" s="17">
        <f t="shared" si="3"/>
        <v>0.02598116473930637</v>
      </c>
    </row>
    <row r="42" spans="2:15" ht="24">
      <c r="B42" s="4">
        <v>39</v>
      </c>
      <c r="C42" s="5" t="s">
        <v>76</v>
      </c>
      <c r="D42" s="5" t="s">
        <v>75</v>
      </c>
      <c r="E42" s="6">
        <v>0.06</v>
      </c>
      <c r="F42" s="6">
        <v>10</v>
      </c>
      <c r="G42" s="7">
        <f>25.133922*E42*F42</f>
        <v>15.080353199999998</v>
      </c>
      <c r="H42" s="7">
        <f>0.3310668*E42*F42</f>
        <v>0.19864008</v>
      </c>
      <c r="I42" s="7">
        <f t="shared" si="1"/>
        <v>0</v>
      </c>
      <c r="J42" s="7">
        <f>23.927493744*E42*F42</f>
        <v>14.356496246399999</v>
      </c>
      <c r="K42" s="7">
        <f>5.18621066712*E42*F42</f>
        <v>3.1117264002720004</v>
      </c>
      <c r="L42" s="11">
        <f>5.0267844*E42*F42</f>
        <v>3.0160706400000006</v>
      </c>
      <c r="M42" s="13">
        <f t="shared" si="0"/>
        <v>35.763286566672</v>
      </c>
      <c r="N42" s="16">
        <f t="shared" si="2"/>
        <v>41.30659598450616</v>
      </c>
      <c r="O42" s="17">
        <f t="shared" si="3"/>
        <v>0.004819006484729357</v>
      </c>
    </row>
    <row r="43" spans="2:15" ht="12.75" thickBot="1">
      <c r="B43" s="4">
        <v>40</v>
      </c>
      <c r="C43" s="5" t="s">
        <v>77</v>
      </c>
      <c r="D43" s="5" t="s">
        <v>78</v>
      </c>
      <c r="E43" s="6">
        <v>0.05</v>
      </c>
      <c r="F43" s="6">
        <v>52</v>
      </c>
      <c r="G43" s="7">
        <f>239.511492*E43*F43</f>
        <v>622.7298792000001</v>
      </c>
      <c r="H43" s="7">
        <f>1.41696*E43*F43</f>
        <v>3.6840960000000003</v>
      </c>
      <c r="I43" s="7">
        <f t="shared" si="1"/>
        <v>0</v>
      </c>
      <c r="J43" s="7">
        <f>228.014940384*E43*F43</f>
        <v>592.8388449984001</v>
      </c>
      <c r="K43" s="7">
        <f>49.23905620032*E43*F43</f>
        <v>128.021546120832</v>
      </c>
      <c r="L43" s="11">
        <f>47.9022984*E43*F43</f>
        <v>124.54597584000001</v>
      </c>
      <c r="M43" s="13">
        <f t="shared" si="0"/>
        <v>1471.820342159232</v>
      </c>
      <c r="N43" s="16">
        <f t="shared" si="2"/>
        <v>1699.9524951939131</v>
      </c>
      <c r="O43" s="17">
        <f t="shared" si="3"/>
        <v>0.19832382462946396</v>
      </c>
    </row>
    <row r="44" spans="2:15" ht="12.75" thickBot="1">
      <c r="B44" s="19"/>
      <c r="C44" s="20" t="s">
        <v>189</v>
      </c>
      <c r="D44" s="20"/>
      <c r="E44" s="20"/>
      <c r="F44" s="21"/>
      <c r="G44" s="9">
        <f aca="true" t="shared" si="5" ref="G44:M44">SUM(G4:G43)</f>
        <v>18954.779529972</v>
      </c>
      <c r="H44" s="9">
        <f t="shared" si="5"/>
        <v>10334.915100280934</v>
      </c>
      <c r="I44" s="9">
        <f t="shared" si="5"/>
        <v>6.590656</v>
      </c>
      <c r="J44" s="9">
        <f t="shared" si="5"/>
        <v>18047.853151995743</v>
      </c>
      <c r="K44" s="9">
        <f t="shared" si="5"/>
        <v>4971.134536016104</v>
      </c>
      <c r="L44" s="12">
        <f t="shared" si="5"/>
        <v>3791.5657882343994</v>
      </c>
      <c r="M44" s="15">
        <f t="shared" si="5"/>
        <v>56106.83876249919</v>
      </c>
      <c r="N44" s="15">
        <f>SUM(N4:N43)</f>
        <v>64803.39877068656</v>
      </c>
      <c r="O44" s="18">
        <f>SUM(O4:O43)</f>
        <v>7.560245318340399</v>
      </c>
    </row>
    <row r="45" spans="2:15" ht="24">
      <c r="B45" s="14"/>
      <c r="C45" s="22" t="s">
        <v>190</v>
      </c>
      <c r="D45" s="23"/>
      <c r="E45" s="53"/>
      <c r="F45" s="54"/>
      <c r="G45" s="54"/>
      <c r="H45" s="54"/>
      <c r="I45" s="54"/>
      <c r="J45" s="54"/>
      <c r="K45" s="54"/>
      <c r="L45" s="54"/>
      <c r="M45" s="55"/>
      <c r="N45" s="14"/>
      <c r="O45" s="14"/>
    </row>
    <row r="46" spans="2:15" ht="30" customHeight="1">
      <c r="B46" s="14">
        <v>41</v>
      </c>
      <c r="C46" s="5" t="s">
        <v>191</v>
      </c>
      <c r="D46" s="23" t="s">
        <v>192</v>
      </c>
      <c r="E46" s="56" t="s">
        <v>193</v>
      </c>
      <c r="F46" s="42"/>
      <c r="G46" s="42"/>
      <c r="H46" s="42"/>
      <c r="I46" s="42"/>
      <c r="J46" s="42"/>
      <c r="K46" s="42"/>
      <c r="L46" s="42"/>
      <c r="M46" s="43"/>
      <c r="N46" s="16">
        <f>3.89*714.3*12</f>
        <v>33343.524</v>
      </c>
      <c r="O46" s="17">
        <v>3.89</v>
      </c>
    </row>
    <row r="47" spans="2:15" s="32" customFormat="1" ht="24">
      <c r="B47" s="29">
        <v>42</v>
      </c>
      <c r="C47" s="30" t="s">
        <v>194</v>
      </c>
      <c r="D47" s="30" t="s">
        <v>192</v>
      </c>
      <c r="E47" s="50" t="s">
        <v>195</v>
      </c>
      <c r="F47" s="51"/>
      <c r="G47" s="51"/>
      <c r="H47" s="51"/>
      <c r="I47" s="51"/>
      <c r="J47" s="51"/>
      <c r="K47" s="51"/>
      <c r="L47" s="51"/>
      <c r="M47" s="52"/>
      <c r="N47" s="31">
        <f>1416/2</f>
        <v>708</v>
      </c>
      <c r="O47" s="17">
        <f>N47/714.3/12</f>
        <v>0.08259834803303935</v>
      </c>
    </row>
    <row r="48" spans="2:15" ht="24">
      <c r="B48" s="14">
        <v>43</v>
      </c>
      <c r="C48" s="24" t="s">
        <v>200</v>
      </c>
      <c r="D48" s="23" t="s">
        <v>192</v>
      </c>
      <c r="E48" s="44" t="s">
        <v>201</v>
      </c>
      <c r="F48" s="45"/>
      <c r="G48" s="45"/>
      <c r="H48" s="45"/>
      <c r="I48" s="45"/>
      <c r="J48" s="45"/>
      <c r="K48" s="45"/>
      <c r="L48" s="45"/>
      <c r="M48" s="46"/>
      <c r="N48" s="25">
        <v>783.14</v>
      </c>
      <c r="O48" s="17">
        <f>N48/714.3/12</f>
        <v>0.09136450604321246</v>
      </c>
    </row>
    <row r="49" spans="2:15" ht="24">
      <c r="B49" s="29">
        <v>44</v>
      </c>
      <c r="C49" s="5" t="s">
        <v>203</v>
      </c>
      <c r="D49" s="23" t="s">
        <v>192</v>
      </c>
      <c r="E49" s="38" t="s">
        <v>204</v>
      </c>
      <c r="F49" s="39"/>
      <c r="G49" s="39"/>
      <c r="H49" s="39"/>
      <c r="I49" s="39"/>
      <c r="J49" s="39"/>
      <c r="K49" s="39"/>
      <c r="L49" s="39"/>
      <c r="M49" s="40"/>
      <c r="N49" s="16">
        <f>(1680+2700+107)/2</f>
        <v>2243.5</v>
      </c>
      <c r="O49" s="17">
        <f>N49/714.3/12</f>
        <v>0.2617364319380279</v>
      </c>
    </row>
    <row r="50" spans="2:15" ht="24">
      <c r="B50" s="14">
        <v>45</v>
      </c>
      <c r="C50" s="5" t="s">
        <v>205</v>
      </c>
      <c r="D50" s="23" t="s">
        <v>192</v>
      </c>
      <c r="E50" s="41" t="s">
        <v>206</v>
      </c>
      <c r="F50" s="42"/>
      <c r="G50" s="42"/>
      <c r="H50" s="42"/>
      <c r="I50" s="42"/>
      <c r="J50" s="42"/>
      <c r="K50" s="42"/>
      <c r="L50" s="42"/>
      <c r="M50" s="43"/>
      <c r="N50" s="16">
        <f>5000/2</f>
        <v>2500</v>
      </c>
      <c r="O50" s="17">
        <f>N50/714.3/12</f>
        <v>0.29166083344999766</v>
      </c>
    </row>
    <row r="51" spans="2:15" ht="12">
      <c r="B51" s="14"/>
      <c r="C51" s="26" t="s">
        <v>196</v>
      </c>
      <c r="D51" s="14"/>
      <c r="E51" s="47" t="s">
        <v>197</v>
      </c>
      <c r="F51" s="48"/>
      <c r="G51" s="48"/>
      <c r="H51" s="48"/>
      <c r="I51" s="48"/>
      <c r="J51" s="48"/>
      <c r="K51" s="48"/>
      <c r="L51" s="48"/>
      <c r="M51" s="49"/>
      <c r="N51" s="17">
        <f>SUM(N44:N50)</f>
        <v>104381.56277068656</v>
      </c>
      <c r="O51" s="27">
        <f>SUM(O44:O50)</f>
        <v>12.177605437804676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E51:M51"/>
    <mergeCell ref="B2:M2"/>
    <mergeCell ref="E47:M47"/>
    <mergeCell ref="E45:M45"/>
    <mergeCell ref="E46:M46"/>
    <mergeCell ref="B1:M1"/>
    <mergeCell ref="E49:M49"/>
    <mergeCell ref="E50:M50"/>
    <mergeCell ref="E48:M48"/>
  </mergeCells>
  <printOptions/>
  <pageMargins left="0.35" right="0.35" top="0.35" bottom="0.35" header="0.3" footer="0.3"/>
  <pageSetup fitToHeight="0" fitToWidth="1" horizontalDpi="600" verticalDpi="600" orientation="landscape" paperSize="9" scale="66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PageLayoutView="0" workbookViewId="0" topLeftCell="B64">
      <selection activeCell="C113" sqref="C113"/>
    </sheetView>
  </sheetViews>
  <sheetFormatPr defaultColWidth="9.140625" defaultRowHeight="12"/>
  <cols>
    <col min="1" max="1" width="0" style="33" hidden="1" customWidth="1"/>
    <col min="2" max="2" width="7.00390625" style="33" customWidth="1"/>
    <col min="3" max="3" width="60.00390625" style="33" customWidth="1"/>
    <col min="4" max="4" width="13.00390625" style="33" customWidth="1"/>
    <col min="5" max="5" width="11.00390625" style="33" customWidth="1"/>
    <col min="6" max="6" width="13.00390625" style="33" customWidth="1"/>
    <col min="7" max="7" width="15.00390625" style="33" customWidth="1"/>
    <col min="8" max="16384" width="9.140625" style="33" customWidth="1"/>
  </cols>
  <sheetData>
    <row r="1" spans="2:13" ht="27.75" customHeight="1">
      <c r="B1" s="57" t="s">
        <v>80</v>
      </c>
      <c r="C1" s="57"/>
      <c r="D1" s="57"/>
      <c r="E1" s="57"/>
      <c r="F1" s="57"/>
      <c r="G1" s="57"/>
      <c r="H1" s="32"/>
      <c r="I1" s="32"/>
      <c r="J1" s="32"/>
      <c r="K1" s="32"/>
      <c r="L1" s="32"/>
      <c r="M1" s="32"/>
    </row>
    <row r="2" spans="2:13" ht="1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54">
      <c r="A3" s="34"/>
      <c r="B3" s="58" t="s">
        <v>0</v>
      </c>
      <c r="C3" s="58" t="s">
        <v>81</v>
      </c>
      <c r="D3" s="59" t="s">
        <v>82</v>
      </c>
      <c r="E3" s="59" t="s">
        <v>3</v>
      </c>
      <c r="F3" s="59" t="s">
        <v>83</v>
      </c>
      <c r="G3" s="60" t="s">
        <v>202</v>
      </c>
      <c r="H3" s="32"/>
      <c r="I3" s="32"/>
      <c r="J3" s="32"/>
      <c r="K3" s="32"/>
      <c r="L3" s="32"/>
      <c r="M3" s="32"/>
    </row>
    <row r="4" spans="2:13" ht="16.5">
      <c r="B4" s="61" t="s">
        <v>84</v>
      </c>
      <c r="C4" s="61"/>
      <c r="D4" s="61"/>
      <c r="E4" s="61"/>
      <c r="F4" s="61"/>
      <c r="G4" s="61"/>
      <c r="H4" s="32"/>
      <c r="I4" s="32"/>
      <c r="J4" s="32"/>
      <c r="K4" s="32"/>
      <c r="L4" s="32"/>
      <c r="M4" s="32"/>
    </row>
    <row r="5" spans="2:13" ht="12">
      <c r="B5" s="62">
        <v>1</v>
      </c>
      <c r="C5" s="63" t="s">
        <v>85</v>
      </c>
      <c r="D5" s="63" t="s">
        <v>86</v>
      </c>
      <c r="E5" s="64">
        <v>114.1188</v>
      </c>
      <c r="F5" s="65">
        <v>98.5644</v>
      </c>
      <c r="G5" s="66">
        <f aca="true" t="shared" si="0" ref="G5:G26">E5*F5</f>
        <v>11248.05105072</v>
      </c>
      <c r="H5" s="32"/>
      <c r="I5" s="32"/>
      <c r="J5" s="32"/>
      <c r="K5" s="32"/>
      <c r="L5" s="32"/>
      <c r="M5" s="32"/>
    </row>
    <row r="6" spans="2:13" ht="12">
      <c r="B6" s="67">
        <v>2</v>
      </c>
      <c r="C6" s="68" t="s">
        <v>87</v>
      </c>
      <c r="D6" s="68" t="s">
        <v>86</v>
      </c>
      <c r="E6" s="69">
        <v>0.2964</v>
      </c>
      <c r="F6" s="70">
        <v>131.87460000000002</v>
      </c>
      <c r="G6" s="71">
        <f t="shared" si="0"/>
        <v>39.08763144</v>
      </c>
      <c r="H6" s="32"/>
      <c r="I6" s="32"/>
      <c r="J6" s="32"/>
      <c r="K6" s="32"/>
      <c r="L6" s="32"/>
      <c r="M6" s="32"/>
    </row>
    <row r="7" spans="2:13" ht="12">
      <c r="B7" s="67">
        <v>3</v>
      </c>
      <c r="C7" s="68" t="s">
        <v>88</v>
      </c>
      <c r="D7" s="68" t="s">
        <v>86</v>
      </c>
      <c r="E7" s="69">
        <v>0.63258</v>
      </c>
      <c r="F7" s="70">
        <v>116.9322</v>
      </c>
      <c r="G7" s="71">
        <f t="shared" si="0"/>
        <v>73.968971076</v>
      </c>
      <c r="H7" s="32"/>
      <c r="I7" s="32"/>
      <c r="J7" s="32"/>
      <c r="K7" s="32"/>
      <c r="L7" s="32"/>
      <c r="M7" s="32"/>
    </row>
    <row r="8" spans="2:13" ht="24">
      <c r="B8" s="67">
        <v>4</v>
      </c>
      <c r="C8" s="68" t="s">
        <v>89</v>
      </c>
      <c r="D8" s="68" t="s">
        <v>86</v>
      </c>
      <c r="E8" s="69">
        <v>1.56</v>
      </c>
      <c r="F8" s="70">
        <v>131.87460000000002</v>
      </c>
      <c r="G8" s="71">
        <f t="shared" si="0"/>
        <v>205.72437600000003</v>
      </c>
      <c r="H8" s="32"/>
      <c r="I8" s="32"/>
      <c r="J8" s="32"/>
      <c r="K8" s="32"/>
      <c r="L8" s="32"/>
      <c r="M8" s="32"/>
    </row>
    <row r="9" spans="2:13" ht="12">
      <c r="B9" s="67">
        <v>5</v>
      </c>
      <c r="C9" s="68" t="s">
        <v>90</v>
      </c>
      <c r="D9" s="68" t="s">
        <v>86</v>
      </c>
      <c r="E9" s="69">
        <v>0.732</v>
      </c>
      <c r="F9" s="70">
        <v>116.9322</v>
      </c>
      <c r="G9" s="71">
        <f t="shared" si="0"/>
        <v>85.59437039999999</v>
      </c>
      <c r="H9" s="32"/>
      <c r="I9" s="32"/>
      <c r="J9" s="32"/>
      <c r="K9" s="32"/>
      <c r="L9" s="32"/>
      <c r="M9" s="32"/>
    </row>
    <row r="10" spans="2:13" ht="12">
      <c r="B10" s="67">
        <v>6</v>
      </c>
      <c r="C10" s="68" t="s">
        <v>91</v>
      </c>
      <c r="D10" s="68" t="s">
        <v>86</v>
      </c>
      <c r="E10" s="69">
        <v>1.557</v>
      </c>
      <c r="F10" s="70">
        <v>131.87460000000002</v>
      </c>
      <c r="G10" s="71">
        <f t="shared" si="0"/>
        <v>205.32875220000003</v>
      </c>
      <c r="H10" s="32"/>
      <c r="I10" s="32"/>
      <c r="J10" s="32"/>
      <c r="K10" s="32"/>
      <c r="L10" s="32"/>
      <c r="M10" s="32"/>
    </row>
    <row r="11" spans="2:13" ht="12">
      <c r="B11" s="67">
        <v>7</v>
      </c>
      <c r="C11" s="68" t="s">
        <v>92</v>
      </c>
      <c r="D11" s="68" t="s">
        <v>86</v>
      </c>
      <c r="E11" s="69">
        <v>1.1232</v>
      </c>
      <c r="F11" s="70">
        <v>131.87460000000002</v>
      </c>
      <c r="G11" s="71">
        <f t="shared" si="0"/>
        <v>148.12155072000002</v>
      </c>
      <c r="H11" s="32"/>
      <c r="I11" s="32"/>
      <c r="J11" s="32"/>
      <c r="K11" s="32"/>
      <c r="L11" s="32"/>
      <c r="M11" s="32"/>
    </row>
    <row r="12" spans="2:13" ht="12">
      <c r="B12" s="67">
        <v>8</v>
      </c>
      <c r="C12" s="68" t="s">
        <v>93</v>
      </c>
      <c r="D12" s="68" t="s">
        <v>86</v>
      </c>
      <c r="E12" s="69">
        <v>12.6</v>
      </c>
      <c r="F12" s="70">
        <v>98.5644</v>
      </c>
      <c r="G12" s="71">
        <f t="shared" si="0"/>
        <v>1241.91144</v>
      </c>
      <c r="H12" s="32"/>
      <c r="I12" s="32"/>
      <c r="J12" s="32"/>
      <c r="K12" s="32"/>
      <c r="L12" s="32"/>
      <c r="M12" s="32"/>
    </row>
    <row r="13" spans="2:13" ht="24">
      <c r="B13" s="67">
        <v>9</v>
      </c>
      <c r="C13" s="68" t="s">
        <v>94</v>
      </c>
      <c r="D13" s="68" t="s">
        <v>86</v>
      </c>
      <c r="E13" s="69">
        <v>0.7</v>
      </c>
      <c r="F13" s="70">
        <v>106.9266</v>
      </c>
      <c r="G13" s="71">
        <f t="shared" si="0"/>
        <v>74.84862</v>
      </c>
      <c r="H13" s="32"/>
      <c r="I13" s="32"/>
      <c r="J13" s="32"/>
      <c r="K13" s="32"/>
      <c r="L13" s="32"/>
      <c r="M13" s="32"/>
    </row>
    <row r="14" spans="2:13" ht="24">
      <c r="B14" s="67">
        <v>10</v>
      </c>
      <c r="C14" s="68" t="s">
        <v>95</v>
      </c>
      <c r="D14" s="68" t="s">
        <v>96</v>
      </c>
      <c r="E14" s="69">
        <v>0.312</v>
      </c>
      <c r="F14" s="70">
        <v>131.87460000000002</v>
      </c>
      <c r="G14" s="71">
        <f t="shared" si="0"/>
        <v>41.1448752</v>
      </c>
      <c r="H14" s="32"/>
      <c r="I14" s="32"/>
      <c r="J14" s="32"/>
      <c r="K14" s="32"/>
      <c r="L14" s="32"/>
      <c r="M14" s="32"/>
    </row>
    <row r="15" spans="2:13" ht="24">
      <c r="B15" s="67">
        <v>11</v>
      </c>
      <c r="C15" s="68" t="s">
        <v>97</v>
      </c>
      <c r="D15" s="68" t="s">
        <v>86</v>
      </c>
      <c r="E15" s="69">
        <v>1.69932</v>
      </c>
      <c r="F15" s="70">
        <v>131.87460000000002</v>
      </c>
      <c r="G15" s="71">
        <f t="shared" si="0"/>
        <v>224.097145272</v>
      </c>
      <c r="H15" s="32"/>
      <c r="I15" s="32"/>
      <c r="J15" s="32"/>
      <c r="K15" s="32"/>
      <c r="L15" s="32"/>
      <c r="M15" s="32"/>
    </row>
    <row r="16" spans="2:13" ht="12">
      <c r="B16" s="67">
        <v>12</v>
      </c>
      <c r="C16" s="68" t="s">
        <v>98</v>
      </c>
      <c r="D16" s="68" t="s">
        <v>86</v>
      </c>
      <c r="E16" s="69">
        <v>2.94</v>
      </c>
      <c r="F16" s="70">
        <v>116.9322</v>
      </c>
      <c r="G16" s="71">
        <f t="shared" si="0"/>
        <v>343.780668</v>
      </c>
      <c r="H16" s="32"/>
      <c r="I16" s="32"/>
      <c r="J16" s="32"/>
      <c r="K16" s="32"/>
      <c r="L16" s="32"/>
      <c r="M16" s="32"/>
    </row>
    <row r="17" spans="2:13" ht="12">
      <c r="B17" s="67">
        <v>13</v>
      </c>
      <c r="C17" s="68" t="s">
        <v>99</v>
      </c>
      <c r="D17" s="68" t="s">
        <v>86</v>
      </c>
      <c r="E17" s="69">
        <v>4.83665</v>
      </c>
      <c r="F17" s="70">
        <v>106.9266</v>
      </c>
      <c r="G17" s="71">
        <f t="shared" si="0"/>
        <v>517.16653989</v>
      </c>
      <c r="H17" s="32"/>
      <c r="I17" s="32"/>
      <c r="J17" s="32"/>
      <c r="K17" s="32"/>
      <c r="L17" s="32"/>
      <c r="M17" s="32"/>
    </row>
    <row r="18" spans="2:13" ht="12">
      <c r="B18" s="67">
        <v>14</v>
      </c>
      <c r="C18" s="68" t="s">
        <v>100</v>
      </c>
      <c r="D18" s="68" t="s">
        <v>86</v>
      </c>
      <c r="E18" s="69">
        <v>8.3625</v>
      </c>
      <c r="F18" s="70">
        <v>116.9322</v>
      </c>
      <c r="G18" s="71">
        <f t="shared" si="0"/>
        <v>977.8455225</v>
      </c>
      <c r="H18" s="32"/>
      <c r="I18" s="32"/>
      <c r="J18" s="32"/>
      <c r="K18" s="32"/>
      <c r="L18" s="32"/>
      <c r="M18" s="32"/>
    </row>
    <row r="19" spans="2:13" ht="12">
      <c r="B19" s="67">
        <v>15</v>
      </c>
      <c r="C19" s="68" t="s">
        <v>101</v>
      </c>
      <c r="D19" s="68" t="s">
        <v>86</v>
      </c>
      <c r="E19" s="69">
        <v>24.31499</v>
      </c>
      <c r="F19" s="70">
        <v>131.87460000000002</v>
      </c>
      <c r="G19" s="71">
        <f t="shared" si="0"/>
        <v>3206.5295802540004</v>
      </c>
      <c r="H19" s="32"/>
      <c r="I19" s="32"/>
      <c r="J19" s="32"/>
      <c r="K19" s="32"/>
      <c r="L19" s="32"/>
      <c r="M19" s="32"/>
    </row>
    <row r="20" spans="2:13" ht="12">
      <c r="B20" s="67">
        <v>16</v>
      </c>
      <c r="C20" s="68" t="s">
        <v>102</v>
      </c>
      <c r="D20" s="68" t="s">
        <v>86</v>
      </c>
      <c r="E20" s="69">
        <v>0.507</v>
      </c>
      <c r="F20" s="70">
        <v>131.87460000000002</v>
      </c>
      <c r="G20" s="71">
        <f t="shared" si="0"/>
        <v>66.8604222</v>
      </c>
      <c r="H20" s="32"/>
      <c r="I20" s="32"/>
      <c r="J20" s="32"/>
      <c r="K20" s="32"/>
      <c r="L20" s="32"/>
      <c r="M20" s="32"/>
    </row>
    <row r="21" spans="2:13" ht="12">
      <c r="B21" s="67">
        <v>17</v>
      </c>
      <c r="C21" s="68" t="s">
        <v>103</v>
      </c>
      <c r="D21" s="68" t="s">
        <v>86</v>
      </c>
      <c r="E21" s="69">
        <v>1.8</v>
      </c>
      <c r="F21" s="70">
        <v>116.9322</v>
      </c>
      <c r="G21" s="71">
        <f t="shared" si="0"/>
        <v>210.47796</v>
      </c>
      <c r="H21" s="32"/>
      <c r="I21" s="32"/>
      <c r="J21" s="32"/>
      <c r="K21" s="32"/>
      <c r="L21" s="32"/>
      <c r="M21" s="32"/>
    </row>
    <row r="22" spans="2:13" ht="24">
      <c r="B22" s="67">
        <v>18</v>
      </c>
      <c r="C22" s="68" t="s">
        <v>104</v>
      </c>
      <c r="D22" s="68" t="s">
        <v>105</v>
      </c>
      <c r="E22" s="69">
        <v>1.69932</v>
      </c>
      <c r="F22" s="70">
        <v>152.0244</v>
      </c>
      <c r="G22" s="71">
        <f t="shared" si="0"/>
        <v>258.338103408</v>
      </c>
      <c r="H22" s="32"/>
      <c r="I22" s="32"/>
      <c r="J22" s="32"/>
      <c r="K22" s="32"/>
      <c r="L22" s="32"/>
      <c r="M22" s="32"/>
    </row>
    <row r="23" spans="2:13" ht="24">
      <c r="B23" s="67">
        <v>19</v>
      </c>
      <c r="C23" s="68" t="s">
        <v>106</v>
      </c>
      <c r="D23" s="68" t="s">
        <v>86</v>
      </c>
      <c r="E23" s="69">
        <v>0.792</v>
      </c>
      <c r="F23" s="70">
        <v>106.9266</v>
      </c>
      <c r="G23" s="71">
        <f t="shared" si="0"/>
        <v>84.6858672</v>
      </c>
      <c r="H23" s="32"/>
      <c r="I23" s="32"/>
      <c r="J23" s="32"/>
      <c r="K23" s="32"/>
      <c r="L23" s="32"/>
      <c r="M23" s="32"/>
    </row>
    <row r="24" spans="2:13" ht="24">
      <c r="B24" s="67">
        <v>20</v>
      </c>
      <c r="C24" s="68" t="s">
        <v>107</v>
      </c>
      <c r="D24" s="68" t="s">
        <v>86</v>
      </c>
      <c r="E24" s="69">
        <v>1.195</v>
      </c>
      <c r="F24" s="70">
        <v>116.9322</v>
      </c>
      <c r="G24" s="71">
        <f t="shared" si="0"/>
        <v>139.733979</v>
      </c>
      <c r="H24" s="32"/>
      <c r="I24" s="32"/>
      <c r="J24" s="32"/>
      <c r="K24" s="32"/>
      <c r="L24" s="32"/>
      <c r="M24" s="32"/>
    </row>
    <row r="25" spans="2:13" ht="24">
      <c r="B25" s="67">
        <v>21</v>
      </c>
      <c r="C25" s="68" t="s">
        <v>108</v>
      </c>
      <c r="D25" s="68" t="s">
        <v>86</v>
      </c>
      <c r="E25" s="69">
        <v>0.482</v>
      </c>
      <c r="F25" s="70">
        <v>124.3308</v>
      </c>
      <c r="G25" s="71">
        <f t="shared" si="0"/>
        <v>59.9274456</v>
      </c>
      <c r="H25" s="32"/>
      <c r="I25" s="32"/>
      <c r="J25" s="32"/>
      <c r="K25" s="32"/>
      <c r="L25" s="32"/>
      <c r="M25" s="32"/>
    </row>
    <row r="26" spans="2:13" ht="24">
      <c r="B26" s="67">
        <v>22</v>
      </c>
      <c r="C26" s="68" t="s">
        <v>109</v>
      </c>
      <c r="D26" s="68" t="s">
        <v>86</v>
      </c>
      <c r="E26" s="69">
        <v>2.84732</v>
      </c>
      <c r="F26" s="70">
        <v>131.87460000000002</v>
      </c>
      <c r="G26" s="71">
        <f t="shared" si="0"/>
        <v>375.489186072</v>
      </c>
      <c r="H26" s="32"/>
      <c r="I26" s="32"/>
      <c r="J26" s="32"/>
      <c r="K26" s="32"/>
      <c r="L26" s="32"/>
      <c r="M26" s="32"/>
    </row>
    <row r="27" spans="2:13" ht="12">
      <c r="B27" s="72" t="s">
        <v>79</v>
      </c>
      <c r="C27" s="73"/>
      <c r="D27" s="73"/>
      <c r="E27" s="73"/>
      <c r="F27" s="74"/>
      <c r="G27" s="75">
        <f>SUM(G5:G26)</f>
        <v>19828.714057152</v>
      </c>
      <c r="H27" s="32"/>
      <c r="I27" s="32"/>
      <c r="J27" s="32"/>
      <c r="K27" s="32"/>
      <c r="L27" s="32"/>
      <c r="M27" s="32"/>
    </row>
    <row r="28" spans="2:13" ht="16.5">
      <c r="B28" s="61" t="s">
        <v>110</v>
      </c>
      <c r="C28" s="61"/>
      <c r="D28" s="61"/>
      <c r="E28" s="61"/>
      <c r="F28" s="61"/>
      <c r="G28" s="61"/>
      <c r="H28" s="32"/>
      <c r="I28" s="32"/>
      <c r="J28" s="32"/>
      <c r="K28" s="32"/>
      <c r="L28" s="32"/>
      <c r="M28" s="32"/>
    </row>
    <row r="29" spans="2:13" ht="12">
      <c r="B29" s="62">
        <v>23</v>
      </c>
      <c r="C29" s="63" t="s">
        <v>111</v>
      </c>
      <c r="D29" s="63" t="s">
        <v>112</v>
      </c>
      <c r="E29" s="64">
        <v>0.031</v>
      </c>
      <c r="F29" s="65">
        <v>8.1918</v>
      </c>
      <c r="G29" s="66">
        <f aca="true" t="shared" si="1" ref="G29:G85">E29*F29</f>
        <v>0.2539458</v>
      </c>
      <c r="H29" s="32"/>
      <c r="I29" s="32"/>
      <c r="J29" s="32"/>
      <c r="K29" s="32"/>
      <c r="L29" s="32"/>
      <c r="M29" s="32"/>
    </row>
    <row r="30" spans="2:13" ht="24">
      <c r="B30" s="67">
        <v>24</v>
      </c>
      <c r="C30" s="68" t="s">
        <v>113</v>
      </c>
      <c r="D30" s="68" t="s">
        <v>114</v>
      </c>
      <c r="E30" s="69">
        <v>0.22</v>
      </c>
      <c r="F30" s="70">
        <v>209.34599999999998</v>
      </c>
      <c r="G30" s="71">
        <f t="shared" si="1"/>
        <v>46.05611999999999</v>
      </c>
      <c r="H30" s="32"/>
      <c r="I30" s="32"/>
      <c r="J30" s="32"/>
      <c r="K30" s="32"/>
      <c r="L30" s="32"/>
      <c r="M30" s="32"/>
    </row>
    <row r="31" spans="2:13" ht="24">
      <c r="B31" s="67">
        <v>25</v>
      </c>
      <c r="C31" s="68" t="s">
        <v>115</v>
      </c>
      <c r="D31" s="68" t="s">
        <v>114</v>
      </c>
      <c r="E31" s="69">
        <v>0.22</v>
      </c>
      <c r="F31" s="70">
        <v>19.2003</v>
      </c>
      <c r="G31" s="71">
        <f t="shared" si="1"/>
        <v>4.224066</v>
      </c>
      <c r="H31" s="32"/>
      <c r="I31" s="32"/>
      <c r="J31" s="32"/>
      <c r="K31" s="32"/>
      <c r="L31" s="32"/>
      <c r="M31" s="32"/>
    </row>
    <row r="32" spans="2:13" ht="24">
      <c r="B32" s="67">
        <v>26</v>
      </c>
      <c r="C32" s="68" t="s">
        <v>116</v>
      </c>
      <c r="D32" s="68" t="s">
        <v>114</v>
      </c>
      <c r="E32" s="69">
        <v>0.22</v>
      </c>
      <c r="F32" s="70">
        <v>31.4757</v>
      </c>
      <c r="G32" s="71">
        <f t="shared" si="1"/>
        <v>6.924654</v>
      </c>
      <c r="H32" s="32"/>
      <c r="I32" s="32"/>
      <c r="J32" s="32"/>
      <c r="K32" s="32"/>
      <c r="L32" s="32"/>
      <c r="M32" s="32"/>
    </row>
    <row r="33" spans="2:13" ht="24">
      <c r="B33" s="67">
        <v>27</v>
      </c>
      <c r="C33" s="68" t="s">
        <v>117</v>
      </c>
      <c r="D33" s="68" t="s">
        <v>114</v>
      </c>
      <c r="E33" s="69">
        <v>0.22</v>
      </c>
      <c r="F33" s="70">
        <v>42.5334</v>
      </c>
      <c r="G33" s="71">
        <f t="shared" si="1"/>
        <v>9.357348</v>
      </c>
      <c r="H33" s="32"/>
      <c r="I33" s="32"/>
      <c r="J33" s="32"/>
      <c r="K33" s="32"/>
      <c r="L33" s="32"/>
      <c r="M33" s="32"/>
    </row>
    <row r="34" spans="2:13" ht="24">
      <c r="B34" s="67">
        <v>28</v>
      </c>
      <c r="C34" s="68" t="s">
        <v>118</v>
      </c>
      <c r="D34" s="68" t="s">
        <v>114</v>
      </c>
      <c r="E34" s="69">
        <v>0.22</v>
      </c>
      <c r="F34" s="70">
        <v>51.783</v>
      </c>
      <c r="G34" s="71">
        <f t="shared" si="1"/>
        <v>11.39226</v>
      </c>
      <c r="H34" s="32"/>
      <c r="I34" s="32"/>
      <c r="J34" s="32"/>
      <c r="K34" s="32"/>
      <c r="L34" s="32"/>
      <c r="M34" s="32"/>
    </row>
    <row r="35" spans="2:13" ht="24">
      <c r="B35" s="67">
        <v>29</v>
      </c>
      <c r="C35" s="68" t="s">
        <v>119</v>
      </c>
      <c r="D35" s="68" t="s">
        <v>114</v>
      </c>
      <c r="E35" s="69">
        <v>0.22</v>
      </c>
      <c r="F35" s="70">
        <v>116.0259</v>
      </c>
      <c r="G35" s="71">
        <f t="shared" si="1"/>
        <v>25.525698</v>
      </c>
      <c r="H35" s="32"/>
      <c r="I35" s="32"/>
      <c r="J35" s="32"/>
      <c r="K35" s="32"/>
      <c r="L35" s="32"/>
      <c r="M35" s="32"/>
    </row>
    <row r="36" spans="2:13" ht="12">
      <c r="B36" s="67">
        <v>30</v>
      </c>
      <c r="C36" s="68" t="s">
        <v>120</v>
      </c>
      <c r="D36" s="68" t="s">
        <v>14</v>
      </c>
      <c r="E36" s="69">
        <v>0.004</v>
      </c>
      <c r="F36" s="70">
        <v>42.8286</v>
      </c>
      <c r="G36" s="71">
        <f t="shared" si="1"/>
        <v>0.1713144</v>
      </c>
      <c r="H36" s="32"/>
      <c r="I36" s="32"/>
      <c r="J36" s="32"/>
      <c r="K36" s="32"/>
      <c r="L36" s="32"/>
      <c r="M36" s="32"/>
    </row>
    <row r="37" spans="2:13" ht="24">
      <c r="B37" s="67">
        <v>31</v>
      </c>
      <c r="C37" s="68" t="s">
        <v>121</v>
      </c>
      <c r="D37" s="68" t="s">
        <v>122</v>
      </c>
      <c r="E37" s="69">
        <v>0.0011</v>
      </c>
      <c r="F37" s="70">
        <v>60713.1567</v>
      </c>
      <c r="G37" s="71">
        <f t="shared" si="1"/>
        <v>66.78447237</v>
      </c>
      <c r="H37" s="32"/>
      <c r="I37" s="32"/>
      <c r="J37" s="32"/>
      <c r="K37" s="32"/>
      <c r="L37" s="32"/>
      <c r="M37" s="32"/>
    </row>
    <row r="38" spans="2:13" ht="24">
      <c r="B38" s="67">
        <v>32</v>
      </c>
      <c r="C38" s="68" t="s">
        <v>123</v>
      </c>
      <c r="D38" s="68" t="s">
        <v>122</v>
      </c>
      <c r="E38" s="69">
        <v>0.000325</v>
      </c>
      <c r="F38" s="70">
        <v>66421.3653</v>
      </c>
      <c r="G38" s="71">
        <f t="shared" si="1"/>
        <v>21.5869437225</v>
      </c>
      <c r="H38" s="32"/>
      <c r="I38" s="32"/>
      <c r="J38" s="32"/>
      <c r="K38" s="32"/>
      <c r="L38" s="32"/>
      <c r="M38" s="32"/>
    </row>
    <row r="39" spans="2:13" ht="12">
      <c r="B39" s="67">
        <v>33</v>
      </c>
      <c r="C39" s="68" t="s">
        <v>124</v>
      </c>
      <c r="D39" s="68" t="s">
        <v>122</v>
      </c>
      <c r="E39" s="69">
        <v>0.00185</v>
      </c>
      <c r="F39" s="70">
        <v>86323.29419999999</v>
      </c>
      <c r="G39" s="71">
        <f t="shared" si="1"/>
        <v>159.69809426999998</v>
      </c>
      <c r="H39" s="32"/>
      <c r="I39" s="32"/>
      <c r="J39" s="32"/>
      <c r="K39" s="32"/>
      <c r="L39" s="32"/>
      <c r="M39" s="32"/>
    </row>
    <row r="40" spans="2:13" ht="12">
      <c r="B40" s="67">
        <v>34</v>
      </c>
      <c r="C40" s="68" t="s">
        <v>125</v>
      </c>
      <c r="D40" s="68" t="s">
        <v>114</v>
      </c>
      <c r="E40" s="69">
        <v>1</v>
      </c>
      <c r="F40" s="70">
        <v>227.3286</v>
      </c>
      <c r="G40" s="71">
        <f t="shared" si="1"/>
        <v>227.3286</v>
      </c>
      <c r="H40" s="32"/>
      <c r="I40" s="32"/>
      <c r="J40" s="32"/>
      <c r="K40" s="32"/>
      <c r="L40" s="32"/>
      <c r="M40" s="32"/>
    </row>
    <row r="41" spans="2:13" ht="12">
      <c r="B41" s="67">
        <v>35</v>
      </c>
      <c r="C41" s="68" t="s">
        <v>126</v>
      </c>
      <c r="D41" s="68" t="s">
        <v>122</v>
      </c>
      <c r="E41" s="69">
        <v>5E-05</v>
      </c>
      <c r="F41" s="70">
        <v>52668.267900000006</v>
      </c>
      <c r="G41" s="71">
        <f t="shared" si="1"/>
        <v>2.6334133950000003</v>
      </c>
      <c r="H41" s="32"/>
      <c r="I41" s="32"/>
      <c r="J41" s="32"/>
      <c r="K41" s="32"/>
      <c r="L41" s="32"/>
      <c r="M41" s="32"/>
    </row>
    <row r="42" spans="2:13" ht="12">
      <c r="B42" s="67">
        <v>36</v>
      </c>
      <c r="C42" s="68" t="s">
        <v>127</v>
      </c>
      <c r="D42" s="68" t="s">
        <v>128</v>
      </c>
      <c r="E42" s="69">
        <v>0.117</v>
      </c>
      <c r="F42" s="70">
        <v>20.5656</v>
      </c>
      <c r="G42" s="71">
        <f t="shared" si="1"/>
        <v>2.4061752000000003</v>
      </c>
      <c r="H42" s="32"/>
      <c r="I42" s="32"/>
      <c r="J42" s="32"/>
      <c r="K42" s="32"/>
      <c r="L42" s="32"/>
      <c r="M42" s="32"/>
    </row>
    <row r="43" spans="2:13" ht="12">
      <c r="B43" s="67">
        <v>37</v>
      </c>
      <c r="C43" s="68" t="s">
        <v>129</v>
      </c>
      <c r="D43" s="68" t="s">
        <v>130</v>
      </c>
      <c r="E43" s="69">
        <v>0.37947</v>
      </c>
      <c r="F43" s="70">
        <v>206.4555</v>
      </c>
      <c r="G43" s="71">
        <f t="shared" si="1"/>
        <v>78.34366858499999</v>
      </c>
      <c r="H43" s="32"/>
      <c r="I43" s="32"/>
      <c r="J43" s="32"/>
      <c r="K43" s="32"/>
      <c r="L43" s="32"/>
      <c r="M43" s="32"/>
    </row>
    <row r="44" spans="2:13" ht="12">
      <c r="B44" s="67">
        <v>38</v>
      </c>
      <c r="C44" s="68" t="s">
        <v>131</v>
      </c>
      <c r="D44" s="68" t="s">
        <v>114</v>
      </c>
      <c r="E44" s="69">
        <v>4</v>
      </c>
      <c r="F44" s="70">
        <v>62.840700000000005</v>
      </c>
      <c r="G44" s="71">
        <f t="shared" si="1"/>
        <v>251.36280000000002</v>
      </c>
      <c r="H44" s="32"/>
      <c r="I44" s="32"/>
      <c r="J44" s="32"/>
      <c r="K44" s="32"/>
      <c r="L44" s="32"/>
      <c r="M44" s="32"/>
    </row>
    <row r="45" spans="2:13" ht="12">
      <c r="B45" s="67">
        <v>39</v>
      </c>
      <c r="C45" s="68" t="s">
        <v>132</v>
      </c>
      <c r="D45" s="68" t="s">
        <v>122</v>
      </c>
      <c r="E45" s="69">
        <v>0.017</v>
      </c>
      <c r="F45" s="70">
        <v>5175.0282</v>
      </c>
      <c r="G45" s="71">
        <f t="shared" si="1"/>
        <v>87.9754794</v>
      </c>
      <c r="H45" s="32"/>
      <c r="I45" s="32"/>
      <c r="J45" s="32"/>
      <c r="K45" s="32"/>
      <c r="L45" s="32"/>
      <c r="M45" s="32"/>
    </row>
    <row r="46" spans="2:13" ht="24">
      <c r="B46" s="67">
        <v>40</v>
      </c>
      <c r="C46" s="68" t="s">
        <v>133</v>
      </c>
      <c r="D46" s="68" t="s">
        <v>122</v>
      </c>
      <c r="E46" s="69">
        <v>2.02E-05</v>
      </c>
      <c r="F46" s="70">
        <v>81859.8702</v>
      </c>
      <c r="G46" s="71">
        <f t="shared" si="1"/>
        <v>1.65356937804</v>
      </c>
      <c r="H46" s="32"/>
      <c r="I46" s="32"/>
      <c r="J46" s="32"/>
      <c r="K46" s="32"/>
      <c r="L46" s="32"/>
      <c r="M46" s="32"/>
    </row>
    <row r="47" spans="2:13" ht="24">
      <c r="B47" s="67">
        <v>41</v>
      </c>
      <c r="C47" s="68" t="s">
        <v>134</v>
      </c>
      <c r="D47" s="68" t="s">
        <v>122</v>
      </c>
      <c r="E47" s="69">
        <v>7E-06</v>
      </c>
      <c r="F47" s="70">
        <v>80923.43430000001</v>
      </c>
      <c r="G47" s="71">
        <f t="shared" si="1"/>
        <v>0.5664640401000001</v>
      </c>
      <c r="H47" s="32"/>
      <c r="I47" s="32"/>
      <c r="J47" s="32"/>
      <c r="K47" s="32"/>
      <c r="L47" s="32"/>
      <c r="M47" s="32"/>
    </row>
    <row r="48" spans="2:13" ht="24">
      <c r="B48" s="67">
        <v>42</v>
      </c>
      <c r="C48" s="68" t="s">
        <v>135</v>
      </c>
      <c r="D48" s="68" t="s">
        <v>122</v>
      </c>
      <c r="E48" s="69">
        <v>7E-06</v>
      </c>
      <c r="F48" s="70">
        <v>79763.59349999999</v>
      </c>
      <c r="G48" s="71">
        <f t="shared" si="1"/>
        <v>0.5583451544999999</v>
      </c>
      <c r="H48" s="32"/>
      <c r="I48" s="32"/>
      <c r="J48" s="32"/>
      <c r="K48" s="32"/>
      <c r="L48" s="32"/>
      <c r="M48" s="32"/>
    </row>
    <row r="49" spans="2:13" ht="12">
      <c r="B49" s="67">
        <v>43</v>
      </c>
      <c r="C49" s="68" t="s">
        <v>136</v>
      </c>
      <c r="D49" s="68" t="s">
        <v>114</v>
      </c>
      <c r="E49" s="69">
        <v>1</v>
      </c>
      <c r="F49" s="70">
        <v>1391.3145000000002</v>
      </c>
      <c r="G49" s="71">
        <f t="shared" si="1"/>
        <v>1391.3145000000002</v>
      </c>
      <c r="H49" s="32"/>
      <c r="I49" s="32"/>
      <c r="J49" s="32"/>
      <c r="K49" s="32"/>
      <c r="L49" s="32"/>
      <c r="M49" s="32"/>
    </row>
    <row r="50" spans="2:13" ht="12">
      <c r="B50" s="67">
        <v>44</v>
      </c>
      <c r="C50" s="68" t="s">
        <v>137</v>
      </c>
      <c r="D50" s="68" t="s">
        <v>114</v>
      </c>
      <c r="E50" s="69">
        <v>5</v>
      </c>
      <c r="F50" s="70">
        <v>41.0943</v>
      </c>
      <c r="G50" s="71">
        <f t="shared" si="1"/>
        <v>205.4715</v>
      </c>
      <c r="H50" s="32"/>
      <c r="I50" s="32"/>
      <c r="J50" s="32"/>
      <c r="K50" s="32"/>
      <c r="L50" s="32"/>
      <c r="M50" s="32"/>
    </row>
    <row r="51" spans="2:13" ht="12">
      <c r="B51" s="67">
        <v>45</v>
      </c>
      <c r="C51" s="68" t="s">
        <v>138</v>
      </c>
      <c r="D51" s="68" t="s">
        <v>122</v>
      </c>
      <c r="E51" s="69">
        <v>2.5E-05</v>
      </c>
      <c r="F51" s="70">
        <v>41587.5423</v>
      </c>
      <c r="G51" s="71">
        <f t="shared" si="1"/>
        <v>1.0396885575</v>
      </c>
      <c r="H51" s="32"/>
      <c r="I51" s="32"/>
      <c r="J51" s="32"/>
      <c r="K51" s="32"/>
      <c r="L51" s="32"/>
      <c r="M51" s="32"/>
    </row>
    <row r="52" spans="2:13" ht="12">
      <c r="B52" s="67">
        <v>46</v>
      </c>
      <c r="C52" s="68" t="s">
        <v>139</v>
      </c>
      <c r="D52" s="68" t="s">
        <v>112</v>
      </c>
      <c r="E52" s="69">
        <v>2.072</v>
      </c>
      <c r="F52" s="70">
        <v>47.5641</v>
      </c>
      <c r="G52" s="71">
        <f t="shared" si="1"/>
        <v>98.55281520000001</v>
      </c>
      <c r="H52" s="32"/>
      <c r="I52" s="32"/>
      <c r="J52" s="32"/>
      <c r="K52" s="32"/>
      <c r="L52" s="32"/>
      <c r="M52" s="32"/>
    </row>
    <row r="53" spans="2:13" ht="12">
      <c r="B53" s="67">
        <v>47</v>
      </c>
      <c r="C53" s="68" t="s">
        <v>140</v>
      </c>
      <c r="D53" s="68" t="s">
        <v>141</v>
      </c>
      <c r="E53" s="69">
        <v>0.5</v>
      </c>
      <c r="F53" s="70">
        <v>191.65859999999998</v>
      </c>
      <c r="G53" s="71">
        <f t="shared" si="1"/>
        <v>95.82929999999999</v>
      </c>
      <c r="H53" s="32"/>
      <c r="I53" s="32"/>
      <c r="J53" s="32"/>
      <c r="K53" s="32"/>
      <c r="L53" s="32"/>
      <c r="M53" s="32"/>
    </row>
    <row r="54" spans="2:13" ht="12">
      <c r="B54" s="67">
        <v>48</v>
      </c>
      <c r="C54" s="68" t="s">
        <v>142</v>
      </c>
      <c r="D54" s="68" t="s">
        <v>112</v>
      </c>
      <c r="E54" s="69">
        <v>0.19</v>
      </c>
      <c r="F54" s="70">
        <v>61.167899999999996</v>
      </c>
      <c r="G54" s="71">
        <f t="shared" si="1"/>
        <v>11.621901</v>
      </c>
      <c r="H54" s="32"/>
      <c r="I54" s="32"/>
      <c r="J54" s="32"/>
      <c r="K54" s="32"/>
      <c r="L54" s="32"/>
      <c r="M54" s="32"/>
    </row>
    <row r="55" spans="2:13" ht="24">
      <c r="B55" s="67">
        <v>49</v>
      </c>
      <c r="C55" s="68" t="s">
        <v>143</v>
      </c>
      <c r="D55" s="68" t="s">
        <v>112</v>
      </c>
      <c r="E55" s="69">
        <v>0.0032</v>
      </c>
      <c r="F55" s="70">
        <v>119.6667</v>
      </c>
      <c r="G55" s="71">
        <f t="shared" si="1"/>
        <v>0.38293344</v>
      </c>
      <c r="H55" s="32"/>
      <c r="I55" s="32"/>
      <c r="J55" s="32"/>
      <c r="K55" s="32"/>
      <c r="L55" s="32"/>
      <c r="M55" s="32"/>
    </row>
    <row r="56" spans="2:13" ht="12">
      <c r="B56" s="67">
        <v>50</v>
      </c>
      <c r="C56" s="68" t="s">
        <v>144</v>
      </c>
      <c r="D56" s="68" t="s">
        <v>122</v>
      </c>
      <c r="E56" s="69">
        <v>0.00231</v>
      </c>
      <c r="F56" s="70">
        <v>29884.5474</v>
      </c>
      <c r="G56" s="71">
        <f t="shared" si="1"/>
        <v>69.03330449399999</v>
      </c>
      <c r="H56" s="32"/>
      <c r="I56" s="32"/>
      <c r="J56" s="32"/>
      <c r="K56" s="32"/>
      <c r="L56" s="32"/>
      <c r="M56" s="32"/>
    </row>
    <row r="57" spans="2:13" ht="12">
      <c r="B57" s="67">
        <v>51</v>
      </c>
      <c r="C57" s="68" t="s">
        <v>145</v>
      </c>
      <c r="D57" s="68" t="s">
        <v>114</v>
      </c>
      <c r="E57" s="69">
        <v>3.452</v>
      </c>
      <c r="F57" s="70">
        <v>3.5423999999999998</v>
      </c>
      <c r="G57" s="71">
        <f t="shared" si="1"/>
        <v>12.2283648</v>
      </c>
      <c r="H57" s="32"/>
      <c r="I57" s="32"/>
      <c r="J57" s="32"/>
      <c r="K57" s="32"/>
      <c r="L57" s="32"/>
      <c r="M57" s="32"/>
    </row>
    <row r="58" spans="2:13" ht="12">
      <c r="B58" s="67">
        <v>52</v>
      </c>
      <c r="C58" s="68" t="s">
        <v>146</v>
      </c>
      <c r="D58" s="68" t="s">
        <v>114</v>
      </c>
      <c r="E58" s="69">
        <v>5</v>
      </c>
      <c r="F58" s="70">
        <v>67.01039999999999</v>
      </c>
      <c r="G58" s="71">
        <f t="shared" si="1"/>
        <v>335.05199999999996</v>
      </c>
      <c r="H58" s="32"/>
      <c r="I58" s="32"/>
      <c r="J58" s="32"/>
      <c r="K58" s="32"/>
      <c r="L58" s="32"/>
      <c r="M58" s="32"/>
    </row>
    <row r="59" spans="2:13" ht="12">
      <c r="B59" s="67">
        <v>53</v>
      </c>
      <c r="C59" s="68" t="s">
        <v>147</v>
      </c>
      <c r="D59" s="68" t="s">
        <v>122</v>
      </c>
      <c r="E59" s="69">
        <v>1.2E-05</v>
      </c>
      <c r="F59" s="70">
        <v>37527.3</v>
      </c>
      <c r="G59" s="71">
        <f t="shared" si="1"/>
        <v>0.45032760000000005</v>
      </c>
      <c r="H59" s="32"/>
      <c r="I59" s="32"/>
      <c r="J59" s="32"/>
      <c r="K59" s="32"/>
      <c r="L59" s="32"/>
      <c r="M59" s="32"/>
    </row>
    <row r="60" spans="2:13" ht="12">
      <c r="B60" s="67">
        <v>54</v>
      </c>
      <c r="C60" s="68" t="s">
        <v>148</v>
      </c>
      <c r="D60" s="68" t="s">
        <v>112</v>
      </c>
      <c r="E60" s="69">
        <v>0.0435</v>
      </c>
      <c r="F60" s="70">
        <v>111.1428</v>
      </c>
      <c r="G60" s="71">
        <f t="shared" si="1"/>
        <v>4.834711799999999</v>
      </c>
      <c r="H60" s="32"/>
      <c r="I60" s="32"/>
      <c r="J60" s="32"/>
      <c r="K60" s="32"/>
      <c r="L60" s="32"/>
      <c r="M60" s="32"/>
    </row>
    <row r="61" spans="2:13" ht="12">
      <c r="B61" s="67">
        <v>55</v>
      </c>
      <c r="C61" s="68" t="s">
        <v>149</v>
      </c>
      <c r="D61" s="68" t="s">
        <v>112</v>
      </c>
      <c r="E61" s="69">
        <v>0.0122</v>
      </c>
      <c r="F61" s="70">
        <v>61.167899999999996</v>
      </c>
      <c r="G61" s="71">
        <f t="shared" si="1"/>
        <v>0.74624838</v>
      </c>
      <c r="H61" s="32"/>
      <c r="I61" s="32"/>
      <c r="J61" s="32"/>
      <c r="K61" s="32"/>
      <c r="L61" s="32"/>
      <c r="M61" s="32"/>
    </row>
    <row r="62" spans="2:13" ht="12">
      <c r="B62" s="67">
        <v>56</v>
      </c>
      <c r="C62" s="68" t="s">
        <v>150</v>
      </c>
      <c r="D62" s="68" t="s">
        <v>114</v>
      </c>
      <c r="E62" s="69">
        <v>2</v>
      </c>
      <c r="F62" s="70">
        <v>23.7636</v>
      </c>
      <c r="G62" s="71">
        <f t="shared" si="1"/>
        <v>47.5272</v>
      </c>
      <c r="H62" s="32"/>
      <c r="I62" s="32"/>
      <c r="J62" s="32"/>
      <c r="K62" s="32"/>
      <c r="L62" s="32"/>
      <c r="M62" s="32"/>
    </row>
    <row r="63" spans="2:13" ht="12">
      <c r="B63" s="67">
        <v>57</v>
      </c>
      <c r="C63" s="68" t="s">
        <v>151</v>
      </c>
      <c r="D63" s="68" t="s">
        <v>114</v>
      </c>
      <c r="E63" s="69">
        <v>0.2</v>
      </c>
      <c r="F63" s="70">
        <v>1561.9278</v>
      </c>
      <c r="G63" s="71">
        <f t="shared" si="1"/>
        <v>312.38556</v>
      </c>
      <c r="H63" s="32"/>
      <c r="I63" s="32"/>
      <c r="J63" s="32"/>
      <c r="K63" s="32"/>
      <c r="L63" s="32"/>
      <c r="M63" s="32"/>
    </row>
    <row r="64" spans="2:13" ht="24">
      <c r="B64" s="67">
        <v>58</v>
      </c>
      <c r="C64" s="68" t="s">
        <v>152</v>
      </c>
      <c r="D64" s="68" t="s">
        <v>122</v>
      </c>
      <c r="E64" s="69">
        <v>1.248E-05</v>
      </c>
      <c r="F64" s="70">
        <v>44424.3774</v>
      </c>
      <c r="G64" s="71">
        <f t="shared" si="1"/>
        <v>0.554416229952</v>
      </c>
      <c r="H64" s="32"/>
      <c r="I64" s="32"/>
      <c r="J64" s="32"/>
      <c r="K64" s="32"/>
      <c r="L64" s="32"/>
      <c r="M64" s="32"/>
    </row>
    <row r="65" spans="2:13" ht="24">
      <c r="B65" s="67">
        <v>59</v>
      </c>
      <c r="C65" s="68" t="s">
        <v>153</v>
      </c>
      <c r="D65" s="68" t="s">
        <v>154</v>
      </c>
      <c r="E65" s="69">
        <v>0.002</v>
      </c>
      <c r="F65" s="70">
        <v>11275.102499999999</v>
      </c>
      <c r="G65" s="71">
        <f t="shared" si="1"/>
        <v>22.550205</v>
      </c>
      <c r="H65" s="32"/>
      <c r="I65" s="32"/>
      <c r="J65" s="32"/>
      <c r="K65" s="32"/>
      <c r="L65" s="32"/>
      <c r="M65" s="32"/>
    </row>
    <row r="66" spans="2:13" ht="12">
      <c r="B66" s="67">
        <v>60</v>
      </c>
      <c r="C66" s="68" t="s">
        <v>155</v>
      </c>
      <c r="D66" s="68" t="s">
        <v>114</v>
      </c>
      <c r="E66" s="69">
        <v>0.328</v>
      </c>
      <c r="F66" s="70">
        <v>473.8206</v>
      </c>
      <c r="G66" s="71">
        <f t="shared" si="1"/>
        <v>155.41315680000002</v>
      </c>
      <c r="H66" s="32"/>
      <c r="I66" s="32"/>
      <c r="J66" s="32"/>
      <c r="K66" s="32"/>
      <c r="L66" s="32"/>
      <c r="M66" s="32"/>
    </row>
    <row r="67" spans="2:13" ht="12">
      <c r="B67" s="67">
        <v>61</v>
      </c>
      <c r="C67" s="68" t="s">
        <v>156</v>
      </c>
      <c r="D67" s="68" t="s">
        <v>128</v>
      </c>
      <c r="E67" s="69">
        <v>0.003</v>
      </c>
      <c r="F67" s="70">
        <v>3144.6303000000003</v>
      </c>
      <c r="G67" s="71">
        <f t="shared" si="1"/>
        <v>9.433890900000002</v>
      </c>
      <c r="H67" s="32"/>
      <c r="I67" s="32"/>
      <c r="J67" s="32"/>
      <c r="K67" s="32"/>
      <c r="L67" s="32"/>
      <c r="M67" s="32"/>
    </row>
    <row r="68" spans="2:13" ht="12">
      <c r="B68" s="67">
        <v>62</v>
      </c>
      <c r="C68" s="68" t="s">
        <v>157</v>
      </c>
      <c r="D68" s="68" t="s">
        <v>112</v>
      </c>
      <c r="E68" s="69">
        <v>0.13</v>
      </c>
      <c r="F68" s="70">
        <v>92.1885</v>
      </c>
      <c r="G68" s="71">
        <f t="shared" si="1"/>
        <v>11.984505</v>
      </c>
      <c r="H68" s="32"/>
      <c r="I68" s="32"/>
      <c r="J68" s="32"/>
      <c r="K68" s="32"/>
      <c r="L68" s="32"/>
      <c r="M68" s="32"/>
    </row>
    <row r="69" spans="2:13" ht="12">
      <c r="B69" s="67">
        <v>63</v>
      </c>
      <c r="C69" s="68" t="s">
        <v>158</v>
      </c>
      <c r="D69" s="68" t="s">
        <v>114</v>
      </c>
      <c r="E69" s="69">
        <v>1</v>
      </c>
      <c r="F69" s="70">
        <v>606.8574</v>
      </c>
      <c r="G69" s="71">
        <f t="shared" si="1"/>
        <v>606.8574</v>
      </c>
      <c r="H69" s="32"/>
      <c r="I69" s="32"/>
      <c r="J69" s="32"/>
      <c r="K69" s="32"/>
      <c r="L69" s="32"/>
      <c r="M69" s="32"/>
    </row>
    <row r="70" spans="2:13" ht="12">
      <c r="B70" s="67">
        <v>64</v>
      </c>
      <c r="C70" s="68" t="s">
        <v>159</v>
      </c>
      <c r="D70" s="68" t="s">
        <v>114</v>
      </c>
      <c r="E70" s="69">
        <v>1</v>
      </c>
      <c r="F70" s="70">
        <v>281.9037</v>
      </c>
      <c r="G70" s="71">
        <f t="shared" si="1"/>
        <v>281.9037</v>
      </c>
      <c r="H70" s="32"/>
      <c r="I70" s="32"/>
      <c r="J70" s="32"/>
      <c r="K70" s="32"/>
      <c r="L70" s="32"/>
      <c r="M70" s="32"/>
    </row>
    <row r="71" spans="2:13" ht="12">
      <c r="B71" s="67">
        <v>65</v>
      </c>
      <c r="C71" s="68" t="s">
        <v>160</v>
      </c>
      <c r="D71" s="68" t="s">
        <v>114</v>
      </c>
      <c r="E71" s="69">
        <v>2.8</v>
      </c>
      <c r="F71" s="70">
        <v>21.869400000000002</v>
      </c>
      <c r="G71" s="71">
        <f t="shared" si="1"/>
        <v>61.234320000000004</v>
      </c>
      <c r="H71" s="32"/>
      <c r="I71" s="32"/>
      <c r="J71" s="32"/>
      <c r="K71" s="32"/>
      <c r="L71" s="32"/>
      <c r="M71" s="32"/>
    </row>
    <row r="72" spans="2:13" ht="12">
      <c r="B72" s="67">
        <v>66</v>
      </c>
      <c r="C72" s="68" t="s">
        <v>161</v>
      </c>
      <c r="D72" s="68" t="s">
        <v>112</v>
      </c>
      <c r="E72" s="69">
        <v>0.027</v>
      </c>
      <c r="F72" s="70">
        <v>39.1509</v>
      </c>
      <c r="G72" s="71">
        <f t="shared" si="1"/>
        <v>1.0570743</v>
      </c>
      <c r="H72" s="32"/>
      <c r="I72" s="32"/>
      <c r="J72" s="32"/>
      <c r="K72" s="32"/>
      <c r="L72" s="32"/>
      <c r="M72" s="32"/>
    </row>
    <row r="73" spans="2:13" ht="12">
      <c r="B73" s="67">
        <v>67</v>
      </c>
      <c r="C73" s="68" t="s">
        <v>162</v>
      </c>
      <c r="D73" s="68" t="s">
        <v>122</v>
      </c>
      <c r="E73" s="69">
        <v>3.3E-05</v>
      </c>
      <c r="F73" s="70">
        <v>109226.9643</v>
      </c>
      <c r="G73" s="71">
        <f t="shared" si="1"/>
        <v>3.6044898219000006</v>
      </c>
      <c r="H73" s="32"/>
      <c r="I73" s="32"/>
      <c r="J73" s="32"/>
      <c r="K73" s="32"/>
      <c r="L73" s="32"/>
      <c r="M73" s="32"/>
    </row>
    <row r="74" spans="2:13" ht="12">
      <c r="B74" s="67">
        <v>68</v>
      </c>
      <c r="C74" s="68" t="s">
        <v>163</v>
      </c>
      <c r="D74" s="68" t="s">
        <v>114</v>
      </c>
      <c r="E74" s="69">
        <v>0.3</v>
      </c>
      <c r="F74" s="70">
        <v>2216.4969</v>
      </c>
      <c r="G74" s="71">
        <f t="shared" si="1"/>
        <v>664.94907</v>
      </c>
      <c r="H74" s="32"/>
      <c r="I74" s="32"/>
      <c r="J74" s="32"/>
      <c r="K74" s="32"/>
      <c r="L74" s="32"/>
      <c r="M74" s="32"/>
    </row>
    <row r="75" spans="2:13" ht="12">
      <c r="B75" s="67">
        <v>69</v>
      </c>
      <c r="C75" s="68" t="s">
        <v>164</v>
      </c>
      <c r="D75" s="68" t="s">
        <v>165</v>
      </c>
      <c r="E75" s="69">
        <v>0.020397</v>
      </c>
      <c r="F75" s="70">
        <v>279.4314</v>
      </c>
      <c r="G75" s="71">
        <f t="shared" si="1"/>
        <v>5.699562265799999</v>
      </c>
      <c r="H75" s="32"/>
      <c r="I75" s="32"/>
      <c r="J75" s="32"/>
      <c r="K75" s="32"/>
      <c r="L75" s="32"/>
      <c r="M75" s="32"/>
    </row>
    <row r="76" spans="2:13" ht="12">
      <c r="B76" s="67">
        <v>70</v>
      </c>
      <c r="C76" s="68" t="s">
        <v>166</v>
      </c>
      <c r="D76" s="68" t="s">
        <v>112</v>
      </c>
      <c r="E76" s="69">
        <v>0.0248</v>
      </c>
      <c r="F76" s="70">
        <v>86.88719999999999</v>
      </c>
      <c r="G76" s="71">
        <f t="shared" si="1"/>
        <v>2.15480256</v>
      </c>
      <c r="H76" s="32"/>
      <c r="I76" s="32"/>
      <c r="J76" s="32"/>
      <c r="K76" s="32"/>
      <c r="L76" s="32"/>
      <c r="M76" s="32"/>
    </row>
    <row r="77" spans="2:13" ht="36">
      <c r="B77" s="67">
        <v>71</v>
      </c>
      <c r="C77" s="68" t="s">
        <v>167</v>
      </c>
      <c r="D77" s="68" t="s">
        <v>168</v>
      </c>
      <c r="E77" s="69">
        <v>1</v>
      </c>
      <c r="F77" s="70">
        <v>718.1232</v>
      </c>
      <c r="G77" s="71">
        <f t="shared" si="1"/>
        <v>718.1232</v>
      </c>
      <c r="H77" s="32"/>
      <c r="I77" s="32"/>
      <c r="J77" s="32"/>
      <c r="K77" s="32"/>
      <c r="L77" s="32"/>
      <c r="M77" s="32"/>
    </row>
    <row r="78" spans="2:13" ht="36">
      <c r="B78" s="67">
        <v>72</v>
      </c>
      <c r="C78" s="68" t="s">
        <v>169</v>
      </c>
      <c r="D78" s="68" t="s">
        <v>168</v>
      </c>
      <c r="E78" s="69">
        <v>1</v>
      </c>
      <c r="F78" s="70">
        <v>105.1281</v>
      </c>
      <c r="G78" s="71">
        <f t="shared" si="1"/>
        <v>105.1281</v>
      </c>
      <c r="H78" s="32"/>
      <c r="I78" s="32"/>
      <c r="J78" s="32"/>
      <c r="K78" s="32"/>
      <c r="L78" s="32"/>
      <c r="M78" s="32"/>
    </row>
    <row r="79" spans="2:13" ht="36">
      <c r="B79" s="67">
        <v>73</v>
      </c>
      <c r="C79" s="68" t="s">
        <v>170</v>
      </c>
      <c r="D79" s="68" t="s">
        <v>168</v>
      </c>
      <c r="E79" s="69">
        <v>1</v>
      </c>
      <c r="F79" s="70">
        <v>142.9014</v>
      </c>
      <c r="G79" s="71">
        <f t="shared" si="1"/>
        <v>142.9014</v>
      </c>
      <c r="H79" s="32"/>
      <c r="I79" s="32"/>
      <c r="J79" s="32"/>
      <c r="K79" s="32"/>
      <c r="L79" s="32"/>
      <c r="M79" s="32"/>
    </row>
    <row r="80" spans="2:13" ht="36">
      <c r="B80" s="67">
        <v>74</v>
      </c>
      <c r="C80" s="68" t="s">
        <v>171</v>
      </c>
      <c r="D80" s="68" t="s">
        <v>168</v>
      </c>
      <c r="E80" s="69">
        <v>1</v>
      </c>
      <c r="F80" s="70">
        <v>185.3364</v>
      </c>
      <c r="G80" s="71">
        <f t="shared" si="1"/>
        <v>185.3364</v>
      </c>
      <c r="H80" s="32"/>
      <c r="I80" s="32"/>
      <c r="J80" s="32"/>
      <c r="K80" s="32"/>
      <c r="L80" s="32"/>
      <c r="M80" s="32"/>
    </row>
    <row r="81" spans="2:13" ht="36">
      <c r="B81" s="67">
        <v>75</v>
      </c>
      <c r="C81" s="68" t="s">
        <v>172</v>
      </c>
      <c r="D81" s="68" t="s">
        <v>168</v>
      </c>
      <c r="E81" s="69">
        <v>1</v>
      </c>
      <c r="F81" s="70">
        <v>273.2445</v>
      </c>
      <c r="G81" s="71">
        <f t="shared" si="1"/>
        <v>273.2445</v>
      </c>
      <c r="H81" s="32"/>
      <c r="I81" s="32"/>
      <c r="J81" s="32"/>
      <c r="K81" s="32"/>
      <c r="L81" s="32"/>
      <c r="M81" s="32"/>
    </row>
    <row r="82" spans="2:13" ht="36">
      <c r="B82" s="67">
        <v>76</v>
      </c>
      <c r="C82" s="68" t="s">
        <v>173</v>
      </c>
      <c r="D82" s="68" t="s">
        <v>168</v>
      </c>
      <c r="E82" s="69">
        <v>1</v>
      </c>
      <c r="F82" s="70">
        <v>520.4499</v>
      </c>
      <c r="G82" s="71">
        <f t="shared" si="1"/>
        <v>520.4499</v>
      </c>
      <c r="H82" s="32"/>
      <c r="I82" s="32"/>
      <c r="J82" s="32"/>
      <c r="K82" s="32"/>
      <c r="L82" s="32"/>
      <c r="M82" s="32"/>
    </row>
    <row r="83" spans="2:13" ht="12">
      <c r="B83" s="67">
        <v>77</v>
      </c>
      <c r="C83" s="68" t="s">
        <v>174</v>
      </c>
      <c r="D83" s="68" t="s">
        <v>114</v>
      </c>
      <c r="E83" s="69">
        <v>0.2</v>
      </c>
      <c r="F83" s="70">
        <v>22702.971</v>
      </c>
      <c r="G83" s="71">
        <f t="shared" si="1"/>
        <v>4540.5942000000005</v>
      </c>
      <c r="H83" s="32"/>
      <c r="I83" s="32"/>
      <c r="J83" s="32"/>
      <c r="K83" s="32"/>
      <c r="L83" s="32"/>
      <c r="M83" s="32"/>
    </row>
    <row r="84" spans="2:13" ht="12">
      <c r="B84" s="67">
        <v>78</v>
      </c>
      <c r="C84" s="68" t="s">
        <v>175</v>
      </c>
      <c r="D84" s="68" t="s">
        <v>112</v>
      </c>
      <c r="E84" s="69">
        <v>0.03198</v>
      </c>
      <c r="F84" s="70">
        <v>65.6943</v>
      </c>
      <c r="G84" s="71">
        <f t="shared" si="1"/>
        <v>2.100903714</v>
      </c>
      <c r="H84" s="32"/>
      <c r="I84" s="32"/>
      <c r="J84" s="32"/>
      <c r="K84" s="32"/>
      <c r="L84" s="32"/>
      <c r="M84" s="32"/>
    </row>
    <row r="85" spans="2:13" ht="12">
      <c r="B85" s="67">
        <v>79</v>
      </c>
      <c r="C85" s="68" t="s">
        <v>176</v>
      </c>
      <c r="D85" s="68" t="s">
        <v>122</v>
      </c>
      <c r="E85" s="69">
        <v>1E-05</v>
      </c>
      <c r="F85" s="70">
        <v>48319.258499999996</v>
      </c>
      <c r="G85" s="71">
        <f t="shared" si="1"/>
        <v>0.483192585</v>
      </c>
      <c r="H85" s="32"/>
      <c r="I85" s="32"/>
      <c r="J85" s="32"/>
      <c r="K85" s="32"/>
      <c r="L85" s="32"/>
      <c r="M85" s="32"/>
    </row>
    <row r="86" spans="2:13" ht="12">
      <c r="B86" s="72" t="s">
        <v>79</v>
      </c>
      <c r="C86" s="73"/>
      <c r="D86" s="73"/>
      <c r="E86" s="73"/>
      <c r="F86" s="74"/>
      <c r="G86" s="75">
        <f>SUM(G29:G85)</f>
        <v>11907.03217616329</v>
      </c>
      <c r="H86" s="32"/>
      <c r="I86" s="32"/>
      <c r="J86" s="32"/>
      <c r="K86" s="32"/>
      <c r="L86" s="32"/>
      <c r="M86" s="32"/>
    </row>
    <row r="87" spans="2:13" ht="16.5">
      <c r="B87" s="61" t="s">
        <v>177</v>
      </c>
      <c r="C87" s="61"/>
      <c r="D87" s="61"/>
      <c r="E87" s="61"/>
      <c r="F87" s="61"/>
      <c r="G87" s="61"/>
      <c r="H87" s="32"/>
      <c r="I87" s="32"/>
      <c r="J87" s="32"/>
      <c r="K87" s="32"/>
      <c r="L87" s="32"/>
      <c r="M87" s="32"/>
    </row>
    <row r="88" spans="2:13" ht="12">
      <c r="B88" s="62">
        <v>80</v>
      </c>
      <c r="C88" s="63" t="s">
        <v>178</v>
      </c>
      <c r="D88" s="63" t="s">
        <v>114</v>
      </c>
      <c r="E88" s="64">
        <v>0.03006</v>
      </c>
      <c r="F88" s="65">
        <v>244.0812</v>
      </c>
      <c r="G88" s="66">
        <f>E88*F88</f>
        <v>7.337080872</v>
      </c>
      <c r="H88" s="32"/>
      <c r="I88" s="32"/>
      <c r="J88" s="32"/>
      <c r="K88" s="32"/>
      <c r="L88" s="32"/>
      <c r="M88" s="32"/>
    </row>
    <row r="89" spans="2:13" ht="12">
      <c r="B89" s="67">
        <v>81</v>
      </c>
      <c r="C89" s="68" t="s">
        <v>179</v>
      </c>
      <c r="D89" s="68" t="s">
        <v>114</v>
      </c>
      <c r="E89" s="69">
        <v>0.0276</v>
      </c>
      <c r="F89" s="70">
        <v>258.3</v>
      </c>
      <c r="G89" s="71">
        <f>E89*F89</f>
        <v>7.12908</v>
      </c>
      <c r="H89" s="32"/>
      <c r="I89" s="32"/>
      <c r="J89" s="32"/>
      <c r="K89" s="32"/>
      <c r="L89" s="32"/>
      <c r="M89" s="32"/>
    </row>
    <row r="90" spans="2:13" ht="12">
      <c r="B90" s="67">
        <v>82</v>
      </c>
      <c r="C90" s="68" t="s">
        <v>180</v>
      </c>
      <c r="D90" s="68" t="s">
        <v>114</v>
      </c>
      <c r="E90" s="69">
        <v>0.5484</v>
      </c>
      <c r="F90" s="70">
        <v>65.0547</v>
      </c>
      <c r="G90" s="71">
        <f>E90*F90</f>
        <v>35.67599748</v>
      </c>
      <c r="H90" s="32"/>
      <c r="I90" s="32"/>
      <c r="J90" s="32"/>
      <c r="K90" s="32"/>
      <c r="L90" s="32"/>
      <c r="M90" s="32"/>
    </row>
    <row r="91" spans="2:13" ht="12">
      <c r="B91" s="67">
        <v>83</v>
      </c>
      <c r="C91" s="68" t="s">
        <v>181</v>
      </c>
      <c r="D91" s="68" t="s">
        <v>114</v>
      </c>
      <c r="E91" s="69">
        <v>0.02766</v>
      </c>
      <c r="F91" s="70">
        <v>178.95270000000002</v>
      </c>
      <c r="G91" s="71">
        <f>E91*F91</f>
        <v>4.949831682000001</v>
      </c>
      <c r="H91" s="32"/>
      <c r="I91" s="32"/>
      <c r="J91" s="32"/>
      <c r="K91" s="32"/>
      <c r="L91" s="32"/>
      <c r="M91" s="32"/>
    </row>
    <row r="92" spans="2:13" ht="12">
      <c r="B92" s="67">
        <v>84</v>
      </c>
      <c r="C92" s="68" t="s">
        <v>182</v>
      </c>
      <c r="D92" s="68" t="s">
        <v>114</v>
      </c>
      <c r="E92" s="69">
        <v>0.03</v>
      </c>
      <c r="F92" s="70">
        <v>2218.92</v>
      </c>
      <c r="G92" s="71">
        <f>E92*F92</f>
        <v>66.5676</v>
      </c>
      <c r="H92" s="32"/>
      <c r="I92" s="32"/>
      <c r="J92" s="32"/>
      <c r="K92" s="32"/>
      <c r="L92" s="32"/>
      <c r="M92" s="32"/>
    </row>
    <row r="93" spans="2:13" ht="12">
      <c r="B93" s="72" t="s">
        <v>79</v>
      </c>
      <c r="C93" s="73"/>
      <c r="D93" s="73"/>
      <c r="E93" s="73"/>
      <c r="F93" s="74"/>
      <c r="G93" s="75">
        <f>SUM(G88:G92)</f>
        <v>121.65959003399999</v>
      </c>
      <c r="H93" s="32"/>
      <c r="I93" s="32"/>
      <c r="J93" s="32"/>
      <c r="K93" s="32"/>
      <c r="L93" s="32"/>
      <c r="M93" s="32"/>
    </row>
    <row r="94" spans="2:13" ht="16.5">
      <c r="B94" s="61" t="s">
        <v>183</v>
      </c>
      <c r="C94" s="61"/>
      <c r="D94" s="61"/>
      <c r="E94" s="61"/>
      <c r="F94" s="61"/>
      <c r="G94" s="61"/>
      <c r="H94" s="32"/>
      <c r="I94" s="32"/>
      <c r="J94" s="32"/>
      <c r="K94" s="32"/>
      <c r="L94" s="32"/>
      <c r="M94" s="32"/>
    </row>
    <row r="95" spans="2:13" ht="12">
      <c r="B95" s="62">
        <v>85</v>
      </c>
      <c r="C95" s="63" t="s">
        <v>184</v>
      </c>
      <c r="D95" s="63" t="s">
        <v>185</v>
      </c>
      <c r="E95" s="64">
        <v>0.134</v>
      </c>
      <c r="F95" s="65">
        <v>98.368</v>
      </c>
      <c r="G95" s="66">
        <f>E95*F95</f>
        <v>13.181312</v>
      </c>
      <c r="H95" s="32"/>
      <c r="I95" s="32"/>
      <c r="J95" s="32"/>
      <c r="K95" s="32"/>
      <c r="L95" s="32"/>
      <c r="M95" s="32"/>
    </row>
    <row r="96" spans="2:13" ht="12">
      <c r="B96" s="72" t="s">
        <v>79</v>
      </c>
      <c r="C96" s="73"/>
      <c r="D96" s="73"/>
      <c r="E96" s="73"/>
      <c r="F96" s="74"/>
      <c r="G96" s="75">
        <f>SUM(G95:G95)</f>
        <v>13.181312</v>
      </c>
      <c r="H96" s="32"/>
      <c r="I96" s="32"/>
      <c r="J96" s="32"/>
      <c r="K96" s="32"/>
      <c r="L96" s="32"/>
      <c r="M96" s="32"/>
    </row>
    <row r="97" spans="2:13" ht="12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2:13" ht="12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2:13" ht="12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2:13" ht="12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2:13" ht="12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2:13" ht="12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2:13" ht="12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2:13" ht="12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2:13" ht="12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2:13" ht="12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2:13" ht="12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2:13" ht="12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2:13" ht="12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2:13" ht="12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2:13" ht="12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2:13" ht="12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2:13" ht="12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2:13" ht="12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</sheetData>
  <sheetProtection formatCells="0" formatColumns="0" formatRows="0" insertColumns="0" insertRows="0" insertHyperlinks="0" deleteColumns="0" deleteRows="0" sort="0" autoFilter="0" pivotTables="0"/>
  <mergeCells count="9">
    <mergeCell ref="B93:F93"/>
    <mergeCell ref="B94:G94"/>
    <mergeCell ref="B96:F96"/>
    <mergeCell ref="B1:G1"/>
    <mergeCell ref="B4:G4"/>
    <mergeCell ref="B27:F27"/>
    <mergeCell ref="B28:G28"/>
    <mergeCell ref="B86:F86"/>
    <mergeCell ref="B87:G87"/>
  </mergeCells>
  <printOptions/>
  <pageMargins left="0.35" right="0.35" top="0.35" bottom="0.35" header="0.3" footer="0.3"/>
  <pageSetup fitToHeight="0" fitToWidth="1" horizontalDpi="600" verticalDpi="600" orientation="portrait" paperSize="9" scale="90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0303</cp:lastModifiedBy>
  <dcterms:created xsi:type="dcterms:W3CDTF">2015-03-30T14:51:55Z</dcterms:created>
  <dcterms:modified xsi:type="dcterms:W3CDTF">2015-06-05T08:04:21Z</dcterms:modified>
  <cp:category>Test result file</cp:category>
  <cp:version/>
  <cp:contentType/>
  <cp:contentStatus/>
</cp:coreProperties>
</file>