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Работы" sheetId="1" r:id="rId1"/>
    <sheet name="Ресурсы" sheetId="2" r:id="rId2"/>
  </sheets>
  <definedNames>
    <definedName name="_xlnm.Print_Titles" localSheetId="0">'Работы'!$3:$3</definedName>
    <definedName name="_xlnm.Print_Titles" localSheetId="1">'Ресурсы'!$3:$3</definedName>
  </definedNames>
  <calcPr fullCalcOnLoad="1"/>
</workbook>
</file>

<file path=xl/sharedStrings.xml><?xml version="1.0" encoding="utf-8"?>
<sst xmlns="http://schemas.openxmlformats.org/spreadsheetml/2006/main" count="541" uniqueCount="371">
  <si>
    <t>Смета расходов. Список работ</t>
  </si>
  <si>
    <t>№пп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</si>
  <si>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</si>
  <si>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</si>
  <si>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</si>
  <si>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</si>
  <si>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</si>
  <si>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</si>
  <si>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</si>
  <si>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</si>
  <si>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</si>
  <si>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Управл. расходы, руб.</t>
  </si>
  <si>
    <t>Осушение электрическими насосами</t>
  </si>
  <si>
    <t>100 куб.м. воды</t>
  </si>
  <si>
    <t>Замена неисправных участков электрической сети (скрытая проводка)</t>
  </si>
  <si>
    <t>100 п.м.</t>
  </si>
  <si>
    <t>Замена ламп накаливания</t>
  </si>
  <si>
    <t>100 шт.</t>
  </si>
  <si>
    <t>Замена патронов</t>
  </si>
  <si>
    <t>Ремонт дверных коробок в узких каменных стенах</t>
  </si>
  <si>
    <t>10 коробок</t>
  </si>
  <si>
    <t>Ремонт калевки дверных полотен</t>
  </si>
  <si>
    <t>100 отремонтированных мест</t>
  </si>
  <si>
    <t>Смена дверных петель при одной сменяемой петле в полотне</t>
  </si>
  <si>
    <t>10 петель</t>
  </si>
  <si>
    <t>Смена дверных петель при двух сменяемых петлях в полотне</t>
  </si>
  <si>
    <t>Смена наличников дверных проемов из мягкой древесины с укреплением шурупами</t>
  </si>
  <si>
    <t>1 п.м. наличника</t>
  </si>
  <si>
    <t>Смена ручки дверной</t>
  </si>
  <si>
    <t>1 ручка</t>
  </si>
  <si>
    <t>Смена щеколды</t>
  </si>
  <si>
    <t>100 шпингалетов</t>
  </si>
  <si>
    <t>Смена замков накладных</t>
  </si>
  <si>
    <t>100 замков</t>
  </si>
  <si>
    <t>Смена замков врезных</t>
  </si>
  <si>
    <t>Смена отдельных участков трубопроводов водоснабжения из стальных водогазопроводных оцинкованных труб диаметром 32 мм</t>
  </si>
  <si>
    <t>100 м трубопроводов</t>
  </si>
  <si>
    <t>Смена отдельных участков трубопроводов  водоснабжения из стальных водогазопроводных оцинкованных труб диаметром 40 мм</t>
  </si>
  <si>
    <t>Смена отдельных участков трубопроводов  водоснабжения из стальных водогазопроводных оцинкованных труб диаметром 50 мм</t>
  </si>
  <si>
    <t>Смена отдельных участков трубопроводов  водоснабжения из стальных водогазопроводных оцинкованных труб диаметром 65 мм</t>
  </si>
  <si>
    <t>Смена отдельных участков трубопроводов водоснабжения из стальных водогазопроводных оцинкованных труб диаметром 80 мм</t>
  </si>
  <si>
    <t>Смена отдельных участков трубопроводов  водоснабжения из стальных водогазопроводных оцинкованных труб диаметром 90 мм</t>
  </si>
  <si>
    <t>Смена отдельных участков трубопроводов  водоснабжения из стальных водогазопроводных оцинкованных труб диаметром 100 мм</t>
  </si>
  <si>
    <t>Смена отдельных участков трубопроводов   водоснабжения из стальных электросварных труб диаметром 125 мм</t>
  </si>
  <si>
    <t>Смена отдельных участков трубопроводов  водоснабжения из стальных электросварных труб диаметром 150 мм</t>
  </si>
  <si>
    <t>Временная заделка свищей и трещин на внутренних трубопроводах и стояках при диаметре трубопровода до 100 мм</t>
  </si>
  <si>
    <t>100 мест</t>
  </si>
  <si>
    <t>Ремонт приборов учета воды условным диаметром 25-40 мм</t>
  </si>
  <si>
    <t>Счетчик воды</t>
  </si>
  <si>
    <t>Замена прибора учета воды с фильтром</t>
  </si>
  <si>
    <t>Смена вентилей и клапанов обратных муфтовых диаметром до 20 мм</t>
  </si>
  <si>
    <t>Смена задвижек диаметром до 50 мм</t>
  </si>
  <si>
    <t>Смена задвижек диаметром до 100 мм</t>
  </si>
  <si>
    <t>Смена задвижек диаметром до 150 мм</t>
  </si>
  <si>
    <t>Замена пакетных переключателей вводно-распределительных устройств и шкафов</t>
  </si>
  <si>
    <t>1 переключатель</t>
  </si>
  <si>
    <t>Замена автоматического выключателя</t>
  </si>
  <si>
    <t>1 автоматический выключатель</t>
  </si>
  <si>
    <t>Замена реле</t>
  </si>
  <si>
    <t>1 реле</t>
  </si>
  <si>
    <t>Замена предохранителя</t>
  </si>
  <si>
    <t>1 предохранитель</t>
  </si>
  <si>
    <t>Замена рубильника</t>
  </si>
  <si>
    <t>1 рубильник</t>
  </si>
  <si>
    <t>Ремонт трансформатора</t>
  </si>
  <si>
    <t>1 трансформатор</t>
  </si>
  <si>
    <t>Ремонт блока управления освещением</t>
  </si>
  <si>
    <t>1 блок</t>
  </si>
  <si>
    <t>Замена трехфазного счетчика (прибора учета) электрической энергии прямого включения</t>
  </si>
  <si>
    <t xml:space="preserve">1 прибор учета </t>
  </si>
  <si>
    <t>Замена выключателя</t>
  </si>
  <si>
    <t>1 выключатель</t>
  </si>
  <si>
    <t>Утепление и прочистка дымовентиляционных каналов</t>
  </si>
  <si>
    <t>1000 м2  общей площади жилых помещений</t>
  </si>
  <si>
    <t>Осмотр территории вокруг здания и фундамента</t>
  </si>
  <si>
    <t>1000 кв.м. общей площади</t>
  </si>
  <si>
    <t>Осмотр кирпичных и железобетонных стен, фасадов</t>
  </si>
  <si>
    <t>Осмотр железобетонных перекрытий</t>
  </si>
  <si>
    <t>1000 кв.м. полов</t>
  </si>
  <si>
    <t>Осмотр железобетонных покрытий</t>
  </si>
  <si>
    <t>Осмотр внутренней отделки стен</t>
  </si>
  <si>
    <t>Осмотр всех элементов рулонных кровель, водостоков</t>
  </si>
  <si>
    <t>1000 кв.м. кровли</t>
  </si>
  <si>
    <t>Осмотр водопровода, канализации и горячего водоснабжения</t>
  </si>
  <si>
    <t>100 квартир</t>
  </si>
  <si>
    <t>Промывка участка водопровода</t>
  </si>
  <si>
    <t>100 куб.м. здания</t>
  </si>
  <si>
    <t>Прочистка канализационного лежака</t>
  </si>
  <si>
    <t>100 м канализационного лежака</t>
  </si>
  <si>
    <t>Проверка исправности  канализационных  вытяжек</t>
  </si>
  <si>
    <t>1000 м2  площади помещений</t>
  </si>
  <si>
    <t>Проверка наличия тяги в  дымовентиляционных каналах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</si>
  <si>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</si>
  <si>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</si>
  <si>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100 лестничных площадок</t>
  </si>
  <si>
    <t>Осмотр  силовых установок</t>
  </si>
  <si>
    <t>1 электромотор</t>
  </si>
  <si>
    <t>Проверка изоляции электропроводки и ее укрепление</t>
  </si>
  <si>
    <t>100 м</t>
  </si>
  <si>
    <t>Проверка заземления оболочки электрокабеля</t>
  </si>
  <si>
    <t>Замеры сопротивления изоляции проводов</t>
  </si>
  <si>
    <t xml:space="preserve">измерение 1         </t>
  </si>
  <si>
    <t>Проверка на прогрев отопительных приборов с регулировкой</t>
  </si>
  <si>
    <t>100 м трубопровода</t>
  </si>
  <si>
    <t>Консервация/расконсервация системы отопления</t>
  </si>
  <si>
    <t>Промывка трубопроводов системы центрального отопления</t>
  </si>
  <si>
    <t>10 м трубопровода</t>
  </si>
  <si>
    <t>Ликвидация воздушных пробок в стояке системы отопления</t>
  </si>
  <si>
    <t>100 стояков</t>
  </si>
  <si>
    <t>Ликвидация воздушных пробок в радиаторном блоке</t>
  </si>
  <si>
    <t>100 радиаторных блоков</t>
  </si>
  <si>
    <t>Ремонт кранов регулировки у радиаторных блоков</t>
  </si>
  <si>
    <t>100 кранов</t>
  </si>
  <si>
    <t>Мелкий ремонт изоляции трубопроводов при диаметре 75 мм</t>
  </si>
  <si>
    <t>Визуальный осмотр узла учета и проверка наличия и нарушения пломб</t>
  </si>
  <si>
    <t>1 прибор учета</t>
  </si>
  <si>
    <t>Снятие и запись показаний с вычислителя в журнал</t>
  </si>
  <si>
    <t>Проверка работоспособности водозапорной арматуры</t>
  </si>
  <si>
    <t>Обсчет данных, оформление справок, распечатка архивов данных</t>
  </si>
  <si>
    <t>1 узел учета</t>
  </si>
  <si>
    <t>Установка фильтра для очистки теплоносителя</t>
  </si>
  <si>
    <t>Устранение аварии на внутридомовых инженерных сетях при сроке эксплуатации многоквартирного дома до 10 лет</t>
  </si>
  <si>
    <t>1000 м2  общей площади жилых помещений, оборудованных газовыми плитами</t>
  </si>
  <si>
    <t>Подметание лестничных площадок и маршей нижних трех этажей с предварительным их увлажнением (в доме с лифтами без мусоропроводов)</t>
  </si>
  <si>
    <t xml:space="preserve">100 м2  мест общего пользования  </t>
  </si>
  <si>
    <t>Подметание лестничных площадок и маршей выше третьего этажа с предварительным их увлажнением  (в доме с лифтами без мусоропроводов)</t>
  </si>
  <si>
    <t>Мытье  лестничных площадок и маршей нижних трех этажей  (в доме с лифтами без мусоропроводов)</t>
  </si>
  <si>
    <t>Мытье  лестничных площадок и маршей  выше третьего этажа  (в доме с лифтами без мусоропроводов)</t>
  </si>
  <si>
    <t>Мытье  лифтов  (в доме с лифтами без мусоропроводов)</t>
  </si>
  <si>
    <t>100 м2  лифтов</t>
  </si>
  <si>
    <t>Протирка пыли  с колпаков  светильников (в подвалах, на чердаках и лестничных клетках)</t>
  </si>
  <si>
    <t>Протирка пыли  с подоконников в помещениях общего  пользования</t>
  </si>
  <si>
    <t xml:space="preserve">100 м2 подоконников </t>
  </si>
  <si>
    <t>Мытье и протирка дверей  в помещениях общего пользования</t>
  </si>
  <si>
    <t>100 м2 дверей</t>
  </si>
  <si>
    <t>Мытье и протирка оконных рам и переплетов в помещениях общего пользования</t>
  </si>
  <si>
    <t>100 м2 оконных рам</t>
  </si>
  <si>
    <t>Мытье и протирка легкодоступных стекол в окнах  в помещениях общего пользования</t>
  </si>
  <si>
    <t>100 м2 окон</t>
  </si>
  <si>
    <t>Уборка мусора и транспортировкой мусора до 100 м</t>
  </si>
  <si>
    <t>1 м3  мусора</t>
  </si>
  <si>
    <t>Влажная протирка почтовых ящиков (с моющим средством)</t>
  </si>
  <si>
    <t>100 кв.м почтовых ящиков</t>
  </si>
  <si>
    <t>Влажная протирка шкафов для электросчетчиков слаботочных устройств  (с моющим средством)</t>
  </si>
  <si>
    <t>100 кв. м шкафов для электросчетчиков слаботочных устройств</t>
  </si>
  <si>
    <t>Влажная протирка перил лестниц (с моющим средством)</t>
  </si>
  <si>
    <t>100 кв.м. перил лестниц</t>
  </si>
  <si>
    <t>Подметание в летний период  земельного участка с усовершенствованным покрытием 1 класса</t>
  </si>
  <si>
    <t>1 000 кв.м. территории</t>
  </si>
  <si>
    <t>Уборка газонов средней засоренности от листьев, сучьев, мусора</t>
  </si>
  <si>
    <t>100 000 кв.м. территории</t>
  </si>
  <si>
    <t>Полив газонов</t>
  </si>
  <si>
    <t>на 100 000 кв.м.</t>
  </si>
  <si>
    <t>Стрижка газонов</t>
  </si>
  <si>
    <t>на 100 кв.м.</t>
  </si>
  <si>
    <t>Очистка урн от мусора</t>
  </si>
  <si>
    <t>на 100 урн</t>
  </si>
  <si>
    <t>Вырезка сухих ветвей и поросли</t>
  </si>
  <si>
    <t>100 деревьев</t>
  </si>
  <si>
    <t>Сдвижка и подметание снега при отсутствии снегопада на придомовой территории с усовершенствованным покрытием 1 класса</t>
  </si>
  <si>
    <t>10 000 кв.м. территории</t>
  </si>
  <si>
    <t>Сдвижка и подметание снега при снегопаде на придомовой территории с усовершенствованным покрытием 1 класса</t>
  </si>
  <si>
    <t>Очистка территории с усовершенствованным покрытием 1 класса от наледи с обработкой противогололедными реагентами</t>
  </si>
  <si>
    <t>Очистка кровли от снега, сбивание сосулек</t>
  </si>
  <si>
    <t>100 кв.м. кровли</t>
  </si>
  <si>
    <t>Очистка кровли от мусора, листьев</t>
  </si>
  <si>
    <t>100 кв.м кровли</t>
  </si>
  <si>
    <t>Уборка крыльца и площадки перед входом в подъезд (в холодный период года)</t>
  </si>
  <si>
    <t>100 кв.м</t>
  </si>
  <si>
    <t>Уборка крыльца и площадки перед входом в подъезд (в теплый период года)</t>
  </si>
  <si>
    <t>Очистка металлической решетки и приямка (в теплый период)</t>
  </si>
  <si>
    <t>1 приямок</t>
  </si>
  <si>
    <t>Уборка мусора на  контейнерных  площадках</t>
  </si>
  <si>
    <t>ИТОГО:</t>
  </si>
  <si>
    <t>Смета расходов. Стоимость и количество ресурсов.</t>
  </si>
  <si>
    <t>Ресурс</t>
  </si>
  <si>
    <t>Ед. измерения</t>
  </si>
  <si>
    <t>Цена, руб.</t>
  </si>
  <si>
    <t>Трудовые ресурсы</t>
  </si>
  <si>
    <t>Бетонщик 4 разряда</t>
  </si>
  <si>
    <t>чел.-час</t>
  </si>
  <si>
    <t>Дворник 1 разряда</t>
  </si>
  <si>
    <t>Изолировщик на термоизоляции 4 разряда</t>
  </si>
  <si>
    <t>Каменщик 3 разряда</t>
  </si>
  <si>
    <t>Кровельщик по рулонным кровлям и по кровлям из штучных материалов 4 разряда</t>
  </si>
  <si>
    <t>Монтажник санитарно-технических систем и оборудования 3 разряда</t>
  </si>
  <si>
    <t>Монтажник санитарно-технических систем и оборудования 4 разряда</t>
  </si>
  <si>
    <t>Наладчик контрольно-измерительных приборов и автоматики 7 разряда</t>
  </si>
  <si>
    <t>Подсобный рабочий 1 разряда</t>
  </si>
  <si>
    <t>Рабочий зеленого хозяйства 3 разряда</t>
  </si>
  <si>
    <t>Рабочий по комплексному обслуживанию и ремонту зданий 2 разряда</t>
  </si>
  <si>
    <t>Рабочий по комплексному обслуживанию и ремонту зданий 4 разряда</t>
  </si>
  <si>
    <t>чел/час</t>
  </si>
  <si>
    <t>Слесарь по контрольно-измерительным приборам и автоматике 4 разряда</t>
  </si>
  <si>
    <t>Слесарь по эксплуатации и ремонту газового оборудования 4 разряда</t>
  </si>
  <si>
    <t>Слесарь-ремонтник 3 разряда</t>
  </si>
  <si>
    <t>Слесарь-сантехник 2 разряда</t>
  </si>
  <si>
    <t>Слесарь-сантехник 3 разряда</t>
  </si>
  <si>
    <t>Слесарь-сантехник 4 разряда</t>
  </si>
  <si>
    <t>Слесарь-сантехник 5 разряда</t>
  </si>
  <si>
    <t>Слесарь-сантехник 6 разряда</t>
  </si>
  <si>
    <t>Стеклопротирщик 2 разряда</t>
  </si>
  <si>
    <t>Столяр строительный 3 разряда</t>
  </si>
  <si>
    <t>Столяр строительный 3.9 разряда</t>
  </si>
  <si>
    <t>Столяр строительный 4 разряда</t>
  </si>
  <si>
    <t>Чистильщик дымоходов, боровок и топок 4 разряда</t>
  </si>
  <si>
    <t>Электрогазосварщик 4 разряда</t>
  </si>
  <si>
    <t>Электрогазосварщик  5 разряда</t>
  </si>
  <si>
    <t>чел.-час./смену</t>
  </si>
  <si>
    <t>Электромонтер по ремонту и обслуживанию электрооборудования 2 разряда</t>
  </si>
  <si>
    <t>Электромонтер по ремонту и обслуживанию электрооборудования 3 разряда</t>
  </si>
  <si>
    <t>Электромонтер по ремонту и обслуживанию электрооборудования 4 разряда</t>
  </si>
  <si>
    <t>Материальные ресурсы</t>
  </si>
  <si>
    <t>Арматура муфтовая оцинкованная к трубопроводам диаметром 100 мм</t>
  </si>
  <si>
    <t>шт.</t>
  </si>
  <si>
    <t>Арматура муфтовая оцинкованная к трубопроводам диаметром 32 мм</t>
  </si>
  <si>
    <t>Арматура муфтовая оцинкованная к трубопроводам диаметром 40 мм</t>
  </si>
  <si>
    <t>Арматура муфтовая оцинкованная к трубопроводам диаметром 50 мм</t>
  </si>
  <si>
    <t>Арматура муфтовая оцинкованная к трубопроводам диаметром 65 мм</t>
  </si>
  <si>
    <t>Арматура муфтовая оцинкованная к трубопроводам диаметром 80 мм</t>
  </si>
  <si>
    <t>Арматура муфтовая оцинкованная к трубопроводам диаметром 90 мм</t>
  </si>
  <si>
    <t>Ацетилен газообразный технический</t>
  </si>
  <si>
    <t>м3</t>
  </si>
  <si>
    <t>Бензин авиационный Б-70</t>
  </si>
  <si>
    <t>т</t>
  </si>
  <si>
    <t>Болты с  гайками и шайбами для санитарно-технических работ диаметром 20-22 мм</t>
  </si>
  <si>
    <t>Болты с гайками и шайбами для санитарно-технических работ, диаметром 16 мм</t>
  </si>
  <si>
    <t>Болты с гайками и шайбами строительные</t>
  </si>
  <si>
    <t>Бруски обрезные длиной 2-3.75 м, шириной 75-150 мм, толщиной 40-75 мм II сорта</t>
  </si>
  <si>
    <t>Вентиль обратный муфтовый диаметром до 20 мм</t>
  </si>
  <si>
    <t>Ветошь</t>
  </si>
  <si>
    <t>кг</t>
  </si>
  <si>
    <t>Винты самонарезающие СМ1-35</t>
  </si>
  <si>
    <t>Вода водопроводная</t>
  </si>
  <si>
    <t>Войлок строительный</t>
  </si>
  <si>
    <t>Войлок строительный толщиной 15 мм</t>
  </si>
  <si>
    <t>м2</t>
  </si>
  <si>
    <t>Втулка полиэтиленовая изолирующая</t>
  </si>
  <si>
    <t>Выключатели автоматические</t>
  </si>
  <si>
    <t>Выключатель одноклавишный</t>
  </si>
  <si>
    <t>Гвозди строительные</t>
  </si>
  <si>
    <t>Гипсовые вяжущие Г-3</t>
  </si>
  <si>
    <t>Дюбели с калиброванной головкой (в обоймах) с цинковым хроматированным покрытием 2.5х48.5 мм</t>
  </si>
  <si>
    <t>Дюбели с калиброванной головкой (в обоймах) с цинковым хроматированным покрытием 3x58,5 мм</t>
  </si>
  <si>
    <t>Дюбели с калиброванной головкой (в обоймах) с цинковым хроматированным покрытием 3х78.5 мм</t>
  </si>
  <si>
    <t>Дюбели с калиброванной головкой (в обоймах) с цинковым хроматированным покрытием 4х100 мм</t>
  </si>
  <si>
    <t>Задвижка диаметром 50 мм</t>
  </si>
  <si>
    <t>Задвижка параллельная фланцевая с шпинделем, для воды и  давлением 1 Мпа (10 кгс/см230Ч6БР) диаметром 100 мм</t>
  </si>
  <si>
    <t>Задвижка параллельная фланцевая с шпинделем, для воды и  давлением 1 Мпа (10 кгс/см230Ч6БР) диаметром 150 мм</t>
  </si>
  <si>
    <t>Замки накладные с засовом и защелкой</t>
  </si>
  <si>
    <t>Замок врезной оцинкованный с цилиндровым механизмом</t>
  </si>
  <si>
    <t>Известь строительная негашеная хлорная марки А</t>
  </si>
  <si>
    <t>Кислород технический газообразный</t>
  </si>
  <si>
    <t>Клей столярный сухой</t>
  </si>
  <si>
    <t xml:space="preserve">Кольцо уплотнительное (хомут) </t>
  </si>
  <si>
    <t>Краски масляные земляные  МА-0115: мумия, сурик  железный</t>
  </si>
  <si>
    <t>Крепления для трубопроводов: кронштейны, планки, хомуты</t>
  </si>
  <si>
    <t>Лампа накаливания газопольная в прозрачной колбе МО 40-60</t>
  </si>
  <si>
    <t>10 шт.</t>
  </si>
  <si>
    <t xml:space="preserve">Лен трепаный </t>
  </si>
  <si>
    <t xml:space="preserve">Лента изоляционная прорезиненная односторонняя ширина 20 мм, толщина 0,25-0,35 мм </t>
  </si>
  <si>
    <t xml:space="preserve">Лента киперная </t>
  </si>
  <si>
    <t xml:space="preserve">Масло минеральное </t>
  </si>
  <si>
    <t>Мастика битумно-резиновая</t>
  </si>
  <si>
    <t>Мешки полиэтиленовые, 60 л</t>
  </si>
  <si>
    <t>Моющее средство</t>
  </si>
  <si>
    <t>Мыло</t>
  </si>
  <si>
    <t>Мыло твердое хозяйственное 72%</t>
  </si>
  <si>
    <t>Накладка резиновая эластичная</t>
  </si>
  <si>
    <t>Наличники</t>
  </si>
  <si>
    <t>пог. м.</t>
  </si>
  <si>
    <t>Олифа комбинированная К-3</t>
  </si>
  <si>
    <t>Олифа натуральная</t>
  </si>
  <si>
    <t>Очес льняной</t>
  </si>
  <si>
    <t>Пакетный переключатель</t>
  </si>
  <si>
    <t>Патроны потолочные</t>
  </si>
  <si>
    <t>Пескосоляная смесь</t>
  </si>
  <si>
    <t>Петля врезная</t>
  </si>
  <si>
    <t>Полиэтиленовые мешки, 200 л</t>
  </si>
  <si>
    <t>Предохранители плавкие</t>
  </si>
  <si>
    <t>Прибор учета (счетчик) электрической энергии</t>
  </si>
  <si>
    <t>компл.</t>
  </si>
  <si>
    <t xml:space="preserve">Провода монтажные с волокнистой или пленочной и поливинилхлоридной изоляцией марки МГШВЭ экранированные с двумя жилами из медной луженой проволоки сечением 0,50 мм </t>
  </si>
  <si>
    <t>1000 пог.м.</t>
  </si>
  <si>
    <t>Проволока сварочная легированная диаметром 4 мм</t>
  </si>
  <si>
    <t>Проволока стальная низкоуглеродистая разного  назначения оцинкованная диаметром 1,1 мм</t>
  </si>
  <si>
    <t>Прокладки из паронита марки ПМБ, толщиной 1 мм, диаметром 50 мм</t>
  </si>
  <si>
    <t>1000 шт.</t>
  </si>
  <si>
    <t>Прокладки из паронита марки ПМБ, толщиной 3 мм диаметром 300 мм</t>
  </si>
  <si>
    <t>Прокладки из паронита, толщиной 1 мм, д. 100 мм</t>
  </si>
  <si>
    <t>Прокладки из паронита, толщиной 1 мм, д. 150 мм</t>
  </si>
  <si>
    <t>Растворитель - бензин</t>
  </si>
  <si>
    <t>Резина листовая вулканизованная цветная</t>
  </si>
  <si>
    <t>Реле времени</t>
  </si>
  <si>
    <t>Рубильник</t>
  </si>
  <si>
    <t>Ручка-скоба из алюминиевого  сплава анодированная</t>
  </si>
  <si>
    <t>Салфетки технические</t>
  </si>
  <si>
    <t xml:space="preserve">Сжим ответвительный </t>
  </si>
  <si>
    <t>Сурик свинцовый тертый</t>
  </si>
  <si>
    <t>Счетчик воды ETWI с импульсным выходом диаметром до 15-20 мм</t>
  </si>
  <si>
    <t>Тальк молотый I сорта</t>
  </si>
  <si>
    <t>Ткань мешочная</t>
  </si>
  <si>
    <t>10 м2</t>
  </si>
  <si>
    <t>Толь с крупнозернистой посыпкой гидроизоляционный марки ТГ-350</t>
  </si>
  <si>
    <t>Трубопровод из стальных электросварных труб, д. 133 мм</t>
  </si>
  <si>
    <t>пог. м</t>
  </si>
  <si>
    <t>Трубопровод из стальных электросварных труб, д. 159 мм</t>
  </si>
  <si>
    <t>Трубы стальные сварные водогазопроводные с резьбой оцинкованные обыкновенные диаметр условного прохода 100 мм, толщина стенки 4.5 мм</t>
  </si>
  <si>
    <t>Трубы стальные сварные водогазопроводные с резьбой оцинкованные обыкновенные диаметр условного прохода 32 мм, толщина стенки 3.2 мм</t>
  </si>
  <si>
    <t>Трубы стальные сварные водогазопроводные с резьбой оцинкованные обыкновенные диаметр условного прохода 40 мм, толщина стенки 3.5 мм</t>
  </si>
  <si>
    <t>Трубы стальные сварные водогазопроводные с резьбой оцинкованные обыкновенные диаметр условного прохода 50 мм, толщина стенки 3.5 мм</t>
  </si>
  <si>
    <t>Трубы стальные сварные водогазопроводные с резьбой оцинкованные обыкновенные диаметр условного прохода 80 мм, толщина стенки 4 мм</t>
  </si>
  <si>
    <t>Трубы стальные сварные водогазопроводные с резьбой оцинкованные обыкновенные диаметр условного прохода 90 мм, толщина стенки 4 мм</t>
  </si>
  <si>
    <t>Трубы стальные сварные водогазопроводные с резьбой оцинкованные обыкновенные, диаметр условного прохода 65 мм, толщина стенки 4 мм</t>
  </si>
  <si>
    <t>Шнур асбестовый общего назначения, марки ШАОН диаметром 10.0 мм</t>
  </si>
  <si>
    <t>Шпагат бумажный влагопрочный одножильный 3,7 мм</t>
  </si>
  <si>
    <t>Щеколды</t>
  </si>
  <si>
    <t>Электроды диаметром 5 мм Э42</t>
  </si>
  <si>
    <t>Специнвентарь</t>
  </si>
  <si>
    <t>Ведро  оцинкованное, 12 л</t>
  </si>
  <si>
    <t xml:space="preserve">Веник обыкновенный </t>
  </si>
  <si>
    <t>Грабли</t>
  </si>
  <si>
    <t>Лом</t>
  </si>
  <si>
    <t>Лопата совковая</t>
  </si>
  <si>
    <t>Лопата штыковая</t>
  </si>
  <si>
    <t>Метла березовая</t>
  </si>
  <si>
    <t>Скребок-ледоруб</t>
  </si>
  <si>
    <t>Совок металлический</t>
  </si>
  <si>
    <t>Тележка</t>
  </si>
  <si>
    <t xml:space="preserve">Швабра </t>
  </si>
  <si>
    <t>Шланг поливочный, 20 м</t>
  </si>
  <si>
    <t>Щетка д/пола 280 мм с черенком на резьбе 1,2 м.</t>
  </si>
  <si>
    <t xml:space="preserve">Щетка для мытья окон </t>
  </si>
  <si>
    <t>Машины/Механизмы</t>
  </si>
  <si>
    <t>Газонокосилка</t>
  </si>
  <si>
    <t>маш.-час</t>
  </si>
  <si>
    <t>Насосы мощностью 4 кВт</t>
  </si>
  <si>
    <t>маш.-час.</t>
  </si>
  <si>
    <t>Стоимость в год (в ценах на март 2014 года) руб.</t>
  </si>
  <si>
    <t>Стоимость в год (в ценах на март 2015 года) руб.</t>
  </si>
  <si>
    <t xml:space="preserve">Стоимость на 1 кв.м. общей площади помещений (рублей в месяц) в ценах 2015г </t>
  </si>
  <si>
    <t>Итого собственные работы</t>
  </si>
  <si>
    <t>Затраты по заключенным договорам со специализированными организациями</t>
  </si>
  <si>
    <t>Вывоз и захоронение ТБО</t>
  </si>
  <si>
    <t>1 м2 жилых помещений</t>
  </si>
  <si>
    <t>Стоимость услуги, оказываемой ООО "Чистота" по вывозу и захоронению ТБО от населения в г. Энгельс с 1 апреля по 31 декабря 2015 г</t>
  </si>
  <si>
    <t>Техническое обслуживание  и ремонт лифтов</t>
  </si>
  <si>
    <t>1 м2 жилых помещений с 2 по 10-й этажи</t>
  </si>
  <si>
    <t>Письмо №06 от 16 марта 2015 года ООО "Лифткомплект" к договору №21  на техническое обслуживание лифтов от 22 октября 2012 г</t>
  </si>
  <si>
    <t>Периодическое  техническое освидетельствование 6-ти лифтов</t>
  </si>
  <si>
    <t xml:space="preserve">Договор №30 от 29 января 2015 года с ООО ИТЦ "ЭКСПЕРТ-СЕРВИС" </t>
  </si>
  <si>
    <t>Обязательное страхование лифтов</t>
  </si>
  <si>
    <t>Страховой полис  серия 111 №0200475683 ОАО страховой компании "Альянс"</t>
  </si>
  <si>
    <t>Дератизация</t>
  </si>
  <si>
    <t>1 м2 жилых и нежилых помещений</t>
  </si>
  <si>
    <t>Договор №1215 на оказание услуг по медицинской дезинфекции, дезинсекции и дератизации с ФБУЗ "Центр гигиены и эпидемиологии в Саратовской области" от 27.11.2014г</t>
  </si>
  <si>
    <t>Техническое обслуживание канализационного коллектора</t>
  </si>
  <si>
    <t>Договор №466-12 на техническое обслуживание от 8 октября 2012г</t>
  </si>
  <si>
    <t>Содержание котельной ж/д №12/2 по ул. Трудовой</t>
  </si>
  <si>
    <t xml:space="preserve">Расходы на содержание котельной ж/д №12/2 по ул. Трудовая </t>
  </si>
  <si>
    <t>Услуги связи</t>
  </si>
  <si>
    <t>Договор об оказании услуг связи №650000002653 от 18 марта 2011 года</t>
  </si>
  <si>
    <t>Обслуживание расчетного счета в банке</t>
  </si>
  <si>
    <t>Договор №58/0130/2012 от 14 декабря 2012 года, соглашение "Об обмене документами в электронном виде" №1 от 14 декабря 2012г</t>
  </si>
  <si>
    <t>Обслуживание кассового аппарата</t>
  </si>
  <si>
    <t>Договор №3192 на техническое обслуживание кассовых аппаратов от 15 июня 2010 года, счет №48566 от 1 сентября 2014г на оплату замены блока ЭКЛЗ и установку марки-пломбы (1 раз в год), счет №52108 от 02 февраля 2015г на оплату техобслуживания ККМ за месяц, счет №51129 от 3 декабря 2014г на установку сервисного обслуживания 2015г</t>
  </si>
  <si>
    <t>Разработка раздела УК на сайте ЖК "Пляж" с управлением</t>
  </si>
  <si>
    <t>Акт №38 от 27 февраля 2015 года</t>
  </si>
  <si>
    <t>Итого</t>
  </si>
  <si>
    <t>Сумма по всем статьям затрат</t>
  </si>
  <si>
    <t>Стоимость в ценах на март 2014г,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</si>
</sst>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9"/>
      <color indexed="8"/>
      <name val="Arial"/>
      <family val="0"/>
    </font>
    <font>
      <b/>
      <sz val="18"/>
      <color indexed="10"/>
      <name val="Courier"/>
      <family val="0"/>
    </font>
    <font>
      <b/>
      <sz val="10"/>
      <color indexed="9"/>
      <name val="Courier"/>
      <family val="0"/>
    </font>
    <font>
      <b/>
      <sz val="14"/>
      <color indexed="10"/>
      <name val="Courier"/>
      <family val="0"/>
    </font>
    <font>
      <b/>
      <sz val="9"/>
      <color indexed="10"/>
      <name val="Arial"/>
      <family val="2"/>
    </font>
    <font>
      <b/>
      <sz val="12"/>
      <color indexed="10"/>
      <name val="Courier"/>
      <family val="3"/>
    </font>
    <font>
      <b/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4" fontId="0" fillId="0" borderId="13" xfId="0" applyNumberFormat="1" applyFill="1" applyBorder="1" applyAlignment="1" applyProtection="1">
      <alignment horizontal="right" vertical="center"/>
      <protection/>
    </xf>
    <xf numFmtId="4" fontId="0" fillId="0" borderId="14" xfId="0" applyNumberFormat="1" applyFill="1" applyBorder="1" applyAlignment="1" applyProtection="1">
      <alignment horizontal="right" vertical="center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right" vertical="center"/>
      <protection/>
    </xf>
    <xf numFmtId="4" fontId="0" fillId="0" borderId="17" xfId="0" applyNumberForma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right" vertical="center"/>
      <protection/>
    </xf>
    <xf numFmtId="4" fontId="0" fillId="0" borderId="18" xfId="0" applyNumberFormat="1" applyFill="1" applyBorder="1" applyAlignment="1" applyProtection="1">
      <alignment horizontal="right" vertical="center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4" fontId="0" fillId="0" borderId="21" xfId="0" applyNumberFormat="1" applyFill="1" applyBorder="1" applyAlignment="1" applyProtection="1">
      <alignment horizontal="right" vertical="center"/>
      <protection/>
    </xf>
    <xf numFmtId="4" fontId="4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22" xfId="0" applyFill="1" applyBorder="1" applyAlignment="1" applyProtection="1">
      <alignment/>
      <protection/>
    </xf>
    <xf numFmtId="4" fontId="0" fillId="0" borderId="22" xfId="0" applyNumberFormat="1" applyFill="1" applyBorder="1" applyAlignment="1" applyProtection="1">
      <alignment/>
      <protection/>
    </xf>
    <xf numFmtId="4" fontId="6" fillId="0" borderId="22" xfId="0" applyNumberFormat="1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6" fillId="12" borderId="13" xfId="0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0" fillId="0" borderId="26" xfId="0" applyFill="1" applyBorder="1" applyAlignment="1" applyProtection="1">
      <alignment horizontal="left" vertical="center" wrapText="1"/>
      <protection/>
    </xf>
    <xf numFmtId="0" fontId="0" fillId="0" borderId="26" xfId="0" applyFont="1" applyFill="1" applyBorder="1" applyAlignment="1" applyProtection="1">
      <alignment horizontal="left" vertical="center" wrapText="1"/>
      <protection/>
    </xf>
    <xf numFmtId="4" fontId="0" fillId="0" borderId="27" xfId="0" applyNumberForma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4" fontId="6" fillId="12" borderId="22" xfId="0" applyNumberFormat="1" applyFont="1" applyFill="1" applyBorder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28" xfId="0" applyFont="1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/>
      <protection/>
    </xf>
    <xf numFmtId="0" fontId="0" fillId="0" borderId="30" xfId="0" applyFill="1" applyBorder="1" applyAlignment="1" applyProtection="1">
      <alignment horizontal="center"/>
      <protection/>
    </xf>
    <xf numFmtId="0" fontId="0" fillId="0" borderId="31" xfId="0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4" xfId="0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0" fontId="0" fillId="0" borderId="34" xfId="0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37" xfId="0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4" fillId="0" borderId="39" xfId="0" applyFont="1" applyFill="1" applyBorder="1" applyAlignment="1" applyProtection="1">
      <alignment horizontal="left" vertical="center"/>
      <protection/>
    </xf>
    <xf numFmtId="0" fontId="4" fillId="0" borderId="40" xfId="0" applyFont="1" applyFill="1" applyBorder="1" applyAlignment="1" applyProtection="1">
      <alignment horizontal="left" vertical="center"/>
      <protection/>
    </xf>
    <xf numFmtId="4" fontId="4" fillId="0" borderId="4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8"/>
  <sheetViews>
    <sheetView tabSelected="1" zoomScalePageLayoutView="0" workbookViewId="0" topLeftCell="D112">
      <selection activeCell="O115" sqref="O115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50.00390625" style="0" customWidth="1"/>
    <col min="4" max="4" width="18.00390625" style="0" customWidth="1"/>
    <col min="5" max="5" width="15.00390625" style="0" customWidth="1"/>
    <col min="6" max="6" width="12.00390625" style="0" customWidth="1"/>
    <col min="7" max="12" width="13.00390625" style="0" customWidth="1"/>
    <col min="13" max="13" width="15.00390625" style="0" customWidth="1"/>
    <col min="14" max="14" width="14.7109375" style="0" customWidth="1"/>
    <col min="15" max="15" width="17.00390625" style="0" customWidth="1"/>
  </cols>
  <sheetData>
    <row r="1" spans="2:13" ht="27.75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ht="12.75" thickBot="1"/>
    <row r="3" spans="1:15" ht="99.75" customHeight="1" thickBot="1">
      <c r="A3" s="1"/>
      <c r="B3" s="10" t="s">
        <v>1</v>
      </c>
      <c r="C3" s="2" t="s">
        <v>2</v>
      </c>
      <c r="D3" s="2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18" t="s">
        <v>338</v>
      </c>
      <c r="N3" s="19" t="s">
        <v>339</v>
      </c>
      <c r="O3" s="19" t="s">
        <v>340</v>
      </c>
    </row>
    <row r="4" spans="2:15" ht="12">
      <c r="B4" s="4">
        <v>1</v>
      </c>
      <c r="C4" s="5" t="s">
        <v>12</v>
      </c>
      <c r="D4" s="5" t="s">
        <v>13</v>
      </c>
      <c r="E4" s="6">
        <v>0.2</v>
      </c>
      <c r="F4" s="6">
        <v>1</v>
      </c>
      <c r="G4" s="7">
        <f>748.4862*E4*F4</f>
        <v>149.69724000000002</v>
      </c>
      <c r="H4" s="7">
        <f>0*E4*F4</f>
        <v>0</v>
      </c>
      <c r="I4" s="7">
        <f>131.81312*E4*F4</f>
        <v>26.362624</v>
      </c>
      <c r="J4" s="7">
        <f>770.619651648*E4*F4</f>
        <v>154.1239303296</v>
      </c>
      <c r="K4" s="7">
        <f>173.34649202304*E4*F4</f>
        <v>34.66929840460801</v>
      </c>
      <c r="L4" s="7">
        <f>161.8948848*E4*F4</f>
        <v>32.37897696</v>
      </c>
      <c r="M4" s="20">
        <f aca="true" t="shared" si="0" ref="M4:M35">SUM(G4:L4)</f>
        <v>397.232069694208</v>
      </c>
      <c r="N4" s="23">
        <f>M4*1.155</f>
        <v>458.80304049681024</v>
      </c>
      <c r="O4" s="24">
        <f>N4/16130.8/12</f>
        <v>0.0023702225995032807</v>
      </c>
    </row>
    <row r="5" spans="2:15" ht="24">
      <c r="B5" s="4">
        <v>2</v>
      </c>
      <c r="C5" s="5" t="s">
        <v>14</v>
      </c>
      <c r="D5" s="5" t="s">
        <v>15</v>
      </c>
      <c r="E5" s="6">
        <v>0.5</v>
      </c>
      <c r="F5" s="6">
        <v>1</v>
      </c>
      <c r="G5" s="7">
        <f>2518.719588*E5*F5</f>
        <v>1259.359794</v>
      </c>
      <c r="H5" s="7">
        <f>3862.72406241*E5*F5</f>
        <v>1931.362031205</v>
      </c>
      <c r="I5" s="7">
        <f aca="true" t="shared" si="1" ref="I5:I36">0*E5*F5</f>
        <v>0</v>
      </c>
      <c r="J5" s="7">
        <f>2397.821047776*E5*F5</f>
        <v>1198.910523888</v>
      </c>
      <c r="K5" s="7">
        <f>921.82279330953*E5*F5</f>
        <v>460.911396654765</v>
      </c>
      <c r="L5" s="7">
        <f>503.7439176*E5*F5</f>
        <v>251.8719588</v>
      </c>
      <c r="M5" s="20">
        <f t="shared" si="0"/>
        <v>5102.415704547765</v>
      </c>
      <c r="N5" s="23">
        <f aca="true" t="shared" si="2" ref="N5:N68">M5*1.155</f>
        <v>5893.290138752669</v>
      </c>
      <c r="O5" s="24">
        <f aca="true" t="shared" si="3" ref="O5:O68">N5/16130.8/12</f>
        <v>0.030445328908840382</v>
      </c>
    </row>
    <row r="6" spans="2:15" ht="12">
      <c r="B6" s="4">
        <v>3</v>
      </c>
      <c r="C6" s="5" t="s">
        <v>16</v>
      </c>
      <c r="D6" s="5" t="s">
        <v>17</v>
      </c>
      <c r="E6" s="6">
        <v>1.5</v>
      </c>
      <c r="F6" s="6">
        <v>12</v>
      </c>
      <c r="G6" s="7">
        <f>830.21862*E6*F6</f>
        <v>14943.935159999999</v>
      </c>
      <c r="H6" s="7">
        <f>1916.586*E6*F6</f>
        <v>34498.547999999995</v>
      </c>
      <c r="I6" s="7">
        <f t="shared" si="1"/>
        <v>0</v>
      </c>
      <c r="J6" s="7">
        <f>790.36812624*E6*F6</f>
        <v>14226.626272320002</v>
      </c>
      <c r="K6" s="7">
        <f>371.4031383552*E6*F6</f>
        <v>6685.256490393599</v>
      </c>
      <c r="L6" s="7">
        <f>166.043724*E6*F6</f>
        <v>2988.787032</v>
      </c>
      <c r="M6" s="20">
        <f t="shared" si="0"/>
        <v>73343.15295471359</v>
      </c>
      <c r="N6" s="23">
        <f t="shared" si="2"/>
        <v>84711.34166269419</v>
      </c>
      <c r="O6" s="24">
        <f t="shared" si="3"/>
        <v>0.4376273013050303</v>
      </c>
    </row>
    <row r="7" spans="2:15" ht="12">
      <c r="B7" s="4">
        <v>4</v>
      </c>
      <c r="C7" s="5" t="s">
        <v>18</v>
      </c>
      <c r="D7" s="5" t="s">
        <v>17</v>
      </c>
      <c r="E7" s="6">
        <v>0.15</v>
      </c>
      <c r="F7" s="6">
        <v>12</v>
      </c>
      <c r="G7" s="7">
        <f>4234.29336*E7*F7</f>
        <v>7621.728047999999</v>
      </c>
      <c r="H7" s="7">
        <f>2376.36*E7*F7</f>
        <v>4277.448</v>
      </c>
      <c r="I7" s="7">
        <f t="shared" si="1"/>
        <v>0</v>
      </c>
      <c r="J7" s="7">
        <f>4031.04727872*E7*F7</f>
        <v>7255.885101696</v>
      </c>
      <c r="K7" s="7">
        <f>1117.3785670656*E7*F7</f>
        <v>2011.28142071808</v>
      </c>
      <c r="L7" s="7">
        <f>846.858672*E7*F7</f>
        <v>1524.3456095999998</v>
      </c>
      <c r="M7" s="20">
        <f t="shared" si="0"/>
        <v>22690.688180014076</v>
      </c>
      <c r="N7" s="23">
        <f t="shared" si="2"/>
        <v>26207.74484791626</v>
      </c>
      <c r="O7" s="24">
        <f t="shared" si="3"/>
        <v>0.13539184276826663</v>
      </c>
    </row>
    <row r="8" spans="2:15" ht="12">
      <c r="B8" s="4">
        <v>5</v>
      </c>
      <c r="C8" s="5" t="s">
        <v>19</v>
      </c>
      <c r="D8" s="5" t="s">
        <v>20</v>
      </c>
      <c r="E8" s="6">
        <v>0.2</v>
      </c>
      <c r="F8" s="6">
        <v>1</v>
      </c>
      <c r="G8" s="7">
        <f>8550.749064*E8*F8</f>
        <v>1710.1498128</v>
      </c>
      <c r="H8" s="7">
        <f>10265.81804436*E8*F8</f>
        <v>2053.163608872</v>
      </c>
      <c r="I8" s="7">
        <f t="shared" si="1"/>
        <v>0</v>
      </c>
      <c r="J8" s="7">
        <f>8140.313108928*E8*F8</f>
        <v>1628.0626217856</v>
      </c>
      <c r="K8" s="7">
        <f>2830.4724228152*E8*F8</f>
        <v>566.09448456304</v>
      </c>
      <c r="L8" s="7">
        <f>1710.1498128*E8*F8</f>
        <v>342.02996256000006</v>
      </c>
      <c r="M8" s="20">
        <f t="shared" si="0"/>
        <v>6299.50049058064</v>
      </c>
      <c r="N8" s="23">
        <f t="shared" si="2"/>
        <v>7275.9230666206395</v>
      </c>
      <c r="O8" s="24">
        <f t="shared" si="3"/>
        <v>0.03758814951635298</v>
      </c>
    </row>
    <row r="9" spans="2:15" ht="36">
      <c r="B9" s="4">
        <v>6</v>
      </c>
      <c r="C9" s="5" t="s">
        <v>21</v>
      </c>
      <c r="D9" s="5" t="s">
        <v>22</v>
      </c>
      <c r="E9" s="6">
        <v>0.2</v>
      </c>
      <c r="F9" s="6">
        <v>1</v>
      </c>
      <c r="G9" s="7">
        <f>1775.546784*E9*F9</f>
        <v>355.1093568</v>
      </c>
      <c r="H9" s="7">
        <f>1454.116824*E9*F9</f>
        <v>290.8233648</v>
      </c>
      <c r="I9" s="7">
        <f t="shared" si="1"/>
        <v>0</v>
      </c>
      <c r="J9" s="7">
        <f>1690.320538368*E9*F9</f>
        <v>338.0641076736</v>
      </c>
      <c r="K9" s="7">
        <f>516.59833536864*E9*F9</f>
        <v>103.31966707372801</v>
      </c>
      <c r="L9" s="7">
        <f>355.1093568*E9*F9</f>
        <v>71.02187136</v>
      </c>
      <c r="M9" s="20">
        <f t="shared" si="0"/>
        <v>1158.338367707328</v>
      </c>
      <c r="N9" s="23">
        <f t="shared" si="2"/>
        <v>1337.8808147019638</v>
      </c>
      <c r="O9" s="24">
        <f t="shared" si="3"/>
        <v>0.006911626695007707</v>
      </c>
    </row>
    <row r="10" spans="2:15" ht="24">
      <c r="B10" s="4">
        <v>7</v>
      </c>
      <c r="C10" s="5" t="s">
        <v>23</v>
      </c>
      <c r="D10" s="5" t="s">
        <v>24</v>
      </c>
      <c r="E10" s="6">
        <v>1</v>
      </c>
      <c r="F10" s="6">
        <v>1</v>
      </c>
      <c r="G10" s="7">
        <f>712.12284*E10*F10</f>
        <v>712.12284</v>
      </c>
      <c r="H10" s="7">
        <f>197.23865367*E10*F10</f>
        <v>197.23865367</v>
      </c>
      <c r="I10" s="7">
        <f t="shared" si="1"/>
        <v>0</v>
      </c>
      <c r="J10" s="7">
        <f>677.94094368*E10*F10</f>
        <v>677.94094368</v>
      </c>
      <c r="K10" s="7">
        <f>166.66675592175*E10*F10</f>
        <v>166.66675592175</v>
      </c>
      <c r="L10" s="7">
        <f>142.424568*E10*F10</f>
        <v>142.424568</v>
      </c>
      <c r="M10" s="20">
        <f t="shared" si="0"/>
        <v>1896.39376127175</v>
      </c>
      <c r="N10" s="23">
        <f t="shared" si="2"/>
        <v>2190.3347942688715</v>
      </c>
      <c r="O10" s="24">
        <f t="shared" si="3"/>
        <v>0.011315489592729808</v>
      </c>
    </row>
    <row r="11" spans="2:15" ht="24">
      <c r="B11" s="4">
        <v>8</v>
      </c>
      <c r="C11" s="5" t="s">
        <v>25</v>
      </c>
      <c r="D11" s="5" t="s">
        <v>24</v>
      </c>
      <c r="E11" s="6">
        <v>1</v>
      </c>
      <c r="F11" s="6">
        <v>1</v>
      </c>
      <c r="G11" s="7">
        <f>659.373*E11*F11</f>
        <v>659.373</v>
      </c>
      <c r="H11" s="7">
        <f>200.3077263*E11*F11</f>
        <v>200.3077263</v>
      </c>
      <c r="I11" s="7">
        <f t="shared" si="1"/>
        <v>0</v>
      </c>
      <c r="J11" s="7">
        <f>627.723096*E11*F11</f>
        <v>627.723096</v>
      </c>
      <c r="K11" s="7">
        <f>156.1774013415*E11*F11</f>
        <v>156.1774013415</v>
      </c>
      <c r="L11" s="7">
        <f>131.8746*E11*F11</f>
        <v>131.8746</v>
      </c>
      <c r="M11" s="20">
        <f t="shared" si="0"/>
        <v>1775.4558236415</v>
      </c>
      <c r="N11" s="23">
        <f t="shared" si="2"/>
        <v>2050.6514763059326</v>
      </c>
      <c r="O11" s="24">
        <f t="shared" si="3"/>
        <v>0.010593871539259949</v>
      </c>
    </row>
    <row r="12" spans="2:15" ht="24">
      <c r="B12" s="4">
        <v>9</v>
      </c>
      <c r="C12" s="5" t="s">
        <v>26</v>
      </c>
      <c r="D12" s="5" t="s">
        <v>27</v>
      </c>
      <c r="E12" s="6">
        <v>10</v>
      </c>
      <c r="F12" s="6">
        <v>1</v>
      </c>
      <c r="G12" s="7">
        <f>24.555762*E12*F12</f>
        <v>245.55762000000001</v>
      </c>
      <c r="H12" s="7">
        <f>70.9861454205*E12*F12</f>
        <v>709.861454205</v>
      </c>
      <c r="I12" s="7">
        <f t="shared" si="1"/>
        <v>0</v>
      </c>
      <c r="J12" s="7">
        <f>23.377085424*E12*F12</f>
        <v>233.77085424</v>
      </c>
      <c r="K12" s="7">
        <f>12.486494248672*E12*F12</f>
        <v>124.86494248672001</v>
      </c>
      <c r="L12" s="7">
        <f>4.9111524*E12*F12</f>
        <v>49.111523999999996</v>
      </c>
      <c r="M12" s="20">
        <f t="shared" si="0"/>
        <v>1363.16639493172</v>
      </c>
      <c r="N12" s="23">
        <f t="shared" si="2"/>
        <v>1574.4571861461368</v>
      </c>
      <c r="O12" s="24">
        <f t="shared" si="3"/>
        <v>0.008133803996836988</v>
      </c>
    </row>
    <row r="13" spans="2:15" ht="12">
      <c r="B13" s="4">
        <v>10</v>
      </c>
      <c r="C13" s="5" t="s">
        <v>28</v>
      </c>
      <c r="D13" s="5" t="s">
        <v>29</v>
      </c>
      <c r="E13" s="6">
        <v>5</v>
      </c>
      <c r="F13" s="6">
        <v>1</v>
      </c>
      <c r="G13" s="7">
        <f>17.53983*E13*F13</f>
        <v>87.69914999999999</v>
      </c>
      <c r="H13" s="7">
        <f>81.04514526*E13*F13</f>
        <v>405.2257263</v>
      </c>
      <c r="I13" s="7">
        <f t="shared" si="1"/>
        <v>0</v>
      </c>
      <c r="J13" s="7">
        <f>16.69791816*E13*F13</f>
        <v>83.4895908</v>
      </c>
      <c r="K13" s="7">
        <f>12.1047038091*E13*F13</f>
        <v>60.5235190455</v>
      </c>
      <c r="L13" s="7">
        <f>3.507966*E13*F13</f>
        <v>17.539830000000002</v>
      </c>
      <c r="M13" s="20">
        <f t="shared" si="0"/>
        <v>654.4778161455001</v>
      </c>
      <c r="N13" s="23">
        <f t="shared" si="2"/>
        <v>755.9218776480527</v>
      </c>
      <c r="O13" s="24">
        <f t="shared" si="3"/>
        <v>0.0039051683613958634</v>
      </c>
    </row>
    <row r="14" spans="2:15" ht="12">
      <c r="B14" s="4">
        <v>11</v>
      </c>
      <c r="C14" s="5" t="s">
        <v>30</v>
      </c>
      <c r="D14" s="5" t="s">
        <v>31</v>
      </c>
      <c r="E14" s="6">
        <v>0.1</v>
      </c>
      <c r="F14" s="6">
        <v>1</v>
      </c>
      <c r="G14" s="7">
        <f>9073.93872*E14*F14</f>
        <v>907.3938720000001</v>
      </c>
      <c r="H14" s="7">
        <f>7351.888104*E14*F14</f>
        <v>735.1888104</v>
      </c>
      <c r="I14" s="7">
        <f t="shared" si="1"/>
        <v>0</v>
      </c>
      <c r="J14" s="7">
        <f>8638.38966144*E14*F14</f>
        <v>863.8389661440001</v>
      </c>
      <c r="K14" s="7">
        <f>2631.7427309712*E14*F14</f>
        <v>263.17427309712</v>
      </c>
      <c r="L14" s="7">
        <f>1814.787744*E14*F14</f>
        <v>181.47877440000002</v>
      </c>
      <c r="M14" s="20">
        <f t="shared" si="0"/>
        <v>2951.07469604112</v>
      </c>
      <c r="N14" s="23">
        <f t="shared" si="2"/>
        <v>3408.4912739274937</v>
      </c>
      <c r="O14" s="24">
        <f t="shared" si="3"/>
        <v>0.017608608345150756</v>
      </c>
    </row>
    <row r="15" spans="2:15" ht="12">
      <c r="B15" s="4">
        <v>12</v>
      </c>
      <c r="C15" s="5" t="s">
        <v>32</v>
      </c>
      <c r="D15" s="5" t="s">
        <v>33</v>
      </c>
      <c r="E15" s="6">
        <v>0.1</v>
      </c>
      <c r="F15" s="6">
        <v>1</v>
      </c>
      <c r="G15" s="7">
        <f>12488.35896*E15*F15</f>
        <v>1248.835896</v>
      </c>
      <c r="H15" s="7">
        <f>53093.039052*E15*F15</f>
        <v>5309.3039052</v>
      </c>
      <c r="I15" s="7">
        <f t="shared" si="1"/>
        <v>0</v>
      </c>
      <c r="J15" s="7">
        <f>11888.91772992*E15*F15</f>
        <v>1188.8917729920001</v>
      </c>
      <c r="K15" s="7">
        <f>8134.3831529016*E15*F15</f>
        <v>813.4383152901601</v>
      </c>
      <c r="L15" s="7">
        <f>2497.671792*E15*F15</f>
        <v>249.76717920000002</v>
      </c>
      <c r="M15" s="20">
        <f t="shared" si="0"/>
        <v>8810.237068682161</v>
      </c>
      <c r="N15" s="23">
        <f t="shared" si="2"/>
        <v>10175.823814327896</v>
      </c>
      <c r="O15" s="24">
        <f t="shared" si="3"/>
        <v>0.05256932810900005</v>
      </c>
    </row>
    <row r="16" spans="2:15" ht="12">
      <c r="B16" s="4">
        <v>13</v>
      </c>
      <c r="C16" s="5" t="s">
        <v>34</v>
      </c>
      <c r="D16" s="5" t="s">
        <v>33</v>
      </c>
      <c r="E16" s="6">
        <v>0.1</v>
      </c>
      <c r="F16" s="6">
        <v>1</v>
      </c>
      <c r="G16" s="7">
        <f>8559.43704*E16*F16</f>
        <v>855.9437040000001</v>
      </c>
      <c r="H16" s="7">
        <f>50587.484526*E16*F16</f>
        <v>5058.748452600001</v>
      </c>
      <c r="I16" s="7">
        <f t="shared" si="1"/>
        <v>0</v>
      </c>
      <c r="J16" s="7">
        <f>8148.58406208*E16*F16</f>
        <v>814.858406208</v>
      </c>
      <c r="K16" s="7">
        <f>7066.0280909484*E16*F16</f>
        <v>706.60280909484</v>
      </c>
      <c r="L16" s="7">
        <f>1711.887408*E16*F16</f>
        <v>171.1887408</v>
      </c>
      <c r="M16" s="20">
        <f t="shared" si="0"/>
        <v>7607.342112702841</v>
      </c>
      <c r="N16" s="23">
        <f t="shared" si="2"/>
        <v>8786.480140171781</v>
      </c>
      <c r="O16" s="24">
        <f t="shared" si="3"/>
        <v>0.04539183911198753</v>
      </c>
    </row>
    <row r="17" spans="2:15" ht="36">
      <c r="B17" s="4">
        <v>14</v>
      </c>
      <c r="C17" s="5" t="s">
        <v>35</v>
      </c>
      <c r="D17" s="5" t="s">
        <v>36</v>
      </c>
      <c r="E17" s="6">
        <v>0.2</v>
      </c>
      <c r="F17" s="6">
        <v>1</v>
      </c>
      <c r="G17" s="7">
        <f>13790.7693*E17*F17</f>
        <v>2758.1538600000003</v>
      </c>
      <c r="H17" s="7">
        <f>23206.829789406*E17*F17</f>
        <v>4641.3659578812</v>
      </c>
      <c r="I17" s="7">
        <f t="shared" si="1"/>
        <v>0</v>
      </c>
      <c r="J17" s="7">
        <f>13128.8123736*E17*F17</f>
        <v>2625.7624747200002</v>
      </c>
      <c r="K17" s="7">
        <f>5263.2732036156*E17*F17</f>
        <v>1052.65464072312</v>
      </c>
      <c r="L17" s="7">
        <f>2758.15386*E17*F17</f>
        <v>551.630772</v>
      </c>
      <c r="M17" s="20">
        <f t="shared" si="0"/>
        <v>11629.567705324322</v>
      </c>
      <c r="N17" s="23">
        <f t="shared" si="2"/>
        <v>13432.150699649592</v>
      </c>
      <c r="O17" s="24">
        <f t="shared" si="3"/>
        <v>0.06939183993586592</v>
      </c>
    </row>
    <row r="18" spans="2:15" ht="36">
      <c r="B18" s="4">
        <v>15</v>
      </c>
      <c r="C18" s="5" t="s">
        <v>37</v>
      </c>
      <c r="D18" s="5" t="s">
        <v>36</v>
      </c>
      <c r="E18" s="6">
        <v>0.1</v>
      </c>
      <c r="F18" s="6">
        <v>1</v>
      </c>
      <c r="G18" s="7">
        <f>14495.23284*E18*F18</f>
        <v>1449.523284</v>
      </c>
      <c r="H18" s="7">
        <f>31463.577074982*E18*F18</f>
        <v>3146.3577074982004</v>
      </c>
      <c r="I18" s="7">
        <f t="shared" si="1"/>
        <v>0</v>
      </c>
      <c r="J18" s="7">
        <f>13799.46166368*E18*F18</f>
        <v>1379.9461663680001</v>
      </c>
      <c r="K18" s="7">
        <f>6274.6185157595*E18*F18</f>
        <v>627.46185157595</v>
      </c>
      <c r="L18" s="7">
        <f>2899.046568*E18*F18</f>
        <v>289.90465680000005</v>
      </c>
      <c r="M18" s="20">
        <f t="shared" si="0"/>
        <v>6893.193666242151</v>
      </c>
      <c r="N18" s="23">
        <f t="shared" si="2"/>
        <v>7961.638684509685</v>
      </c>
      <c r="O18" s="24">
        <f t="shared" si="3"/>
        <v>0.04113062528676861</v>
      </c>
    </row>
    <row r="19" spans="2:15" ht="36">
      <c r="B19" s="4">
        <v>16</v>
      </c>
      <c r="C19" s="5" t="s">
        <v>38</v>
      </c>
      <c r="D19" s="5" t="s">
        <v>36</v>
      </c>
      <c r="E19" s="6">
        <v>0.1</v>
      </c>
      <c r="F19" s="6">
        <v>1</v>
      </c>
      <c r="G19" s="7">
        <f>16107.14094*E19*F19</f>
        <v>1610.714094</v>
      </c>
      <c r="H19" s="7">
        <f>34488.634636035*E19*F19</f>
        <v>3448.8634636035003</v>
      </c>
      <c r="I19" s="7">
        <f t="shared" si="1"/>
        <v>0</v>
      </c>
      <c r="J19" s="7">
        <f>15333.99817488*E19*F19</f>
        <v>1533.399817488</v>
      </c>
      <c r="K19" s="7">
        <f>6922.6262438461*E19*F19</f>
        <v>692.26262438461</v>
      </c>
      <c r="L19" s="7">
        <f>3221.428188*E19*F19</f>
        <v>322.1428188</v>
      </c>
      <c r="M19" s="20">
        <f t="shared" si="0"/>
        <v>7607.38281827611</v>
      </c>
      <c r="N19" s="23">
        <f t="shared" si="2"/>
        <v>8786.527155108906</v>
      </c>
      <c r="O19" s="24">
        <f t="shared" si="3"/>
        <v>0.04539208199587594</v>
      </c>
    </row>
    <row r="20" spans="2:15" ht="36">
      <c r="B20" s="4">
        <v>17</v>
      </c>
      <c r="C20" s="5" t="s">
        <v>39</v>
      </c>
      <c r="D20" s="5" t="s">
        <v>36</v>
      </c>
      <c r="E20" s="6">
        <v>0.1</v>
      </c>
      <c r="F20" s="6">
        <v>1</v>
      </c>
      <c r="G20" s="7">
        <f>18924.9951*E20*F20</f>
        <v>1892.49951</v>
      </c>
      <c r="H20" s="7">
        <f>48338.034117408*E20*F20</f>
        <v>4833.803411740801</v>
      </c>
      <c r="I20" s="7">
        <f t="shared" si="1"/>
        <v>0</v>
      </c>
      <c r="J20" s="7">
        <f>18016.5953352*E20*F20</f>
        <v>1801.65953352</v>
      </c>
      <c r="K20" s="7">
        <f>8954.3605780238*E20*F20</f>
        <v>895.43605780238</v>
      </c>
      <c r="L20" s="7">
        <f>3784.99902*E20*F20</f>
        <v>378.499902</v>
      </c>
      <c r="M20" s="20">
        <f t="shared" si="0"/>
        <v>9801.89841506318</v>
      </c>
      <c r="N20" s="23">
        <f t="shared" si="2"/>
        <v>11321.192669397973</v>
      </c>
      <c r="O20" s="24">
        <f t="shared" si="3"/>
        <v>0.05848641868040216</v>
      </c>
    </row>
    <row r="21" spans="2:15" ht="36">
      <c r="B21" s="4">
        <v>18</v>
      </c>
      <c r="C21" s="5" t="s">
        <v>40</v>
      </c>
      <c r="D21" s="5" t="s">
        <v>36</v>
      </c>
      <c r="E21" s="6">
        <v>0.1</v>
      </c>
      <c r="F21" s="6">
        <v>1</v>
      </c>
      <c r="G21" s="7">
        <f>20871.22488*E21*F21</f>
        <v>2087.1224880000004</v>
      </c>
      <c r="H21" s="7">
        <f>56797.785580302*E21*F21</f>
        <v>5679.778558030201</v>
      </c>
      <c r="I21" s="7">
        <f t="shared" si="1"/>
        <v>0</v>
      </c>
      <c r="J21" s="7">
        <f>19869.40608576*E21*F21</f>
        <v>1986.9406085760002</v>
      </c>
      <c r="K21" s="7">
        <f>10241.533737337*E21*F21</f>
        <v>1024.1533737337002</v>
      </c>
      <c r="L21" s="7">
        <f>4174.244976*E21*F21</f>
        <v>417.4244976</v>
      </c>
      <c r="M21" s="20">
        <f t="shared" si="0"/>
        <v>11195.419525939902</v>
      </c>
      <c r="N21" s="23">
        <f t="shared" si="2"/>
        <v>12930.709552460587</v>
      </c>
      <c r="O21" s="24">
        <f t="shared" si="3"/>
        <v>0.0668013445936789</v>
      </c>
    </row>
    <row r="22" spans="2:15" ht="36">
      <c r="B22" s="4">
        <v>19</v>
      </c>
      <c r="C22" s="5" t="s">
        <v>41</v>
      </c>
      <c r="D22" s="5" t="s">
        <v>36</v>
      </c>
      <c r="E22" s="6">
        <v>0.1</v>
      </c>
      <c r="F22" s="6">
        <v>1</v>
      </c>
      <c r="G22" s="7">
        <f>23593.55856*E22*F22</f>
        <v>2359.355856</v>
      </c>
      <c r="H22" s="7">
        <f>64442.546098107*E22*F22</f>
        <v>6444.2546098107005</v>
      </c>
      <c r="I22" s="7">
        <f t="shared" si="1"/>
        <v>0</v>
      </c>
      <c r="J22" s="7">
        <f>22461.06774912*E22*F22</f>
        <v>2246.106774912</v>
      </c>
      <c r="K22" s="7">
        <f>11602.203102759*E22*F22</f>
        <v>1160.2203102759001</v>
      </c>
      <c r="L22" s="7">
        <f>4718.711712*E22*F22</f>
        <v>471.87117120000005</v>
      </c>
      <c r="M22" s="20">
        <f t="shared" si="0"/>
        <v>12681.8087221986</v>
      </c>
      <c r="N22" s="23">
        <f t="shared" si="2"/>
        <v>14647.489074139385</v>
      </c>
      <c r="O22" s="24">
        <f t="shared" si="3"/>
        <v>0.07567040007387206</v>
      </c>
    </row>
    <row r="23" spans="2:15" ht="36">
      <c r="B23" s="4">
        <v>20</v>
      </c>
      <c r="C23" s="5" t="s">
        <v>42</v>
      </c>
      <c r="D23" s="5" t="s">
        <v>36</v>
      </c>
      <c r="E23" s="6">
        <v>0.1</v>
      </c>
      <c r="F23" s="6">
        <v>1</v>
      </c>
      <c r="G23" s="7">
        <f>26315.89224*E23*F23</f>
        <v>2631.5892240000003</v>
      </c>
      <c r="H23" s="7">
        <f>78940.77265818*E23*F23</f>
        <v>7894.077265817999</v>
      </c>
      <c r="I23" s="7">
        <f t="shared" si="1"/>
        <v>0</v>
      </c>
      <c r="J23" s="7">
        <f>25052.72941248*E23*F23</f>
        <v>2505.2729412480003</v>
      </c>
      <c r="K23" s="7">
        <f>13682.486402619*E23*F23</f>
        <v>1368.2486402619002</v>
      </c>
      <c r="L23" s="7">
        <f>5263.178448*E23*F23</f>
        <v>526.3178448</v>
      </c>
      <c r="M23" s="20">
        <f t="shared" si="0"/>
        <v>14925.505916127899</v>
      </c>
      <c r="N23" s="23">
        <f t="shared" si="2"/>
        <v>17238.959333127725</v>
      </c>
      <c r="O23" s="24">
        <f t="shared" si="3"/>
        <v>0.08905819577623618</v>
      </c>
    </row>
    <row r="24" spans="2:15" ht="36">
      <c r="B24" s="4">
        <v>21</v>
      </c>
      <c r="C24" s="5" t="s">
        <v>43</v>
      </c>
      <c r="D24" s="5" t="s">
        <v>36</v>
      </c>
      <c r="E24" s="6">
        <v>0.05</v>
      </c>
      <c r="F24" s="6">
        <v>1</v>
      </c>
      <c r="G24" s="7">
        <f>20175.517384796*E24*F24</f>
        <v>1008.7758692398</v>
      </c>
      <c r="H24" s="7">
        <f>62128.59497229*E24*F24</f>
        <v>3106.4297486145</v>
      </c>
      <c r="I24" s="7">
        <f t="shared" si="1"/>
        <v>0</v>
      </c>
      <c r="J24" s="7">
        <f>19207.092550326*E24*F24</f>
        <v>960.3546275163001</v>
      </c>
      <c r="K24" s="7">
        <f>10658.676515278*E24*F24</f>
        <v>532.9338257639</v>
      </c>
      <c r="L24" s="7">
        <f>4035.1034769592*E24*F24</f>
        <v>201.75517384796</v>
      </c>
      <c r="M24" s="20">
        <f t="shared" si="0"/>
        <v>5810.2492449824595</v>
      </c>
      <c r="N24" s="23">
        <f t="shared" si="2"/>
        <v>6710.837877954741</v>
      </c>
      <c r="O24" s="24">
        <f t="shared" si="3"/>
        <v>0.03466886266208507</v>
      </c>
    </row>
    <row r="25" spans="2:15" ht="36">
      <c r="B25" s="4">
        <v>22</v>
      </c>
      <c r="C25" s="5" t="s">
        <v>44</v>
      </c>
      <c r="D25" s="5" t="s">
        <v>36</v>
      </c>
      <c r="E25" s="6">
        <v>0.05</v>
      </c>
      <c r="F25" s="6">
        <v>1</v>
      </c>
      <c r="G25" s="7">
        <f>14925.075*E25*F25</f>
        <v>746.2537500000001</v>
      </c>
      <c r="H25" s="7">
        <f>78928.97953134*E25*F25</f>
        <v>3946.448976567</v>
      </c>
      <c r="I25" s="7">
        <f t="shared" si="1"/>
        <v>0</v>
      </c>
      <c r="J25" s="7">
        <f>14208.6714*E25*F25</f>
        <v>710.43357</v>
      </c>
      <c r="K25" s="7">
        <f>11346.586222791*E25*F25</f>
        <v>567.32931113955</v>
      </c>
      <c r="L25" s="7">
        <f>2985.015*E25*F25</f>
        <v>149.25075</v>
      </c>
      <c r="M25" s="20">
        <f t="shared" si="0"/>
        <v>6119.71635770655</v>
      </c>
      <c r="N25" s="23">
        <f t="shared" si="2"/>
        <v>7068.272393151065</v>
      </c>
      <c r="O25" s="24">
        <f t="shared" si="3"/>
        <v>0.03651540527619557</v>
      </c>
    </row>
    <row r="26" spans="2:15" ht="36">
      <c r="B26" s="4">
        <v>23</v>
      </c>
      <c r="C26" s="5" t="s">
        <v>45</v>
      </c>
      <c r="D26" s="5" t="s">
        <v>46</v>
      </c>
      <c r="E26" s="6">
        <v>0.05</v>
      </c>
      <c r="F26" s="6">
        <v>1</v>
      </c>
      <c r="G26" s="7">
        <f>6197.4066*E26*F26</f>
        <v>309.87033</v>
      </c>
      <c r="H26" s="7">
        <f>14004.4318854*E26*F26</f>
        <v>700.22159427</v>
      </c>
      <c r="I26" s="7">
        <f t="shared" si="1"/>
        <v>0</v>
      </c>
      <c r="J26" s="7">
        <f>5899.9310832*E26*F26</f>
        <v>294.99655416</v>
      </c>
      <c r="K26" s="7">
        <f>2740.685804703*E26*F26</f>
        <v>137.03429023515</v>
      </c>
      <c r="L26" s="7">
        <f>1239.48132*E26*F26</f>
        <v>61.97406600000001</v>
      </c>
      <c r="M26" s="20">
        <f t="shared" si="0"/>
        <v>1504.0968346651498</v>
      </c>
      <c r="N26" s="23">
        <f t="shared" si="2"/>
        <v>1737.231844038248</v>
      </c>
      <c r="O26" s="24">
        <f t="shared" si="3"/>
        <v>0.008974714232184435</v>
      </c>
    </row>
    <row r="27" spans="2:15" ht="24">
      <c r="B27" s="4">
        <v>24</v>
      </c>
      <c r="C27" s="5" t="s">
        <v>47</v>
      </c>
      <c r="D27" s="5" t="s">
        <v>48</v>
      </c>
      <c r="E27" s="6">
        <v>10</v>
      </c>
      <c r="F27" s="6">
        <v>1</v>
      </c>
      <c r="G27" s="7">
        <f>158.24952*E27*F27</f>
        <v>1582.4951999999998</v>
      </c>
      <c r="H27" s="7">
        <f>0*E27*F27</f>
        <v>0</v>
      </c>
      <c r="I27" s="7">
        <f t="shared" si="1"/>
        <v>0</v>
      </c>
      <c r="J27" s="7">
        <f>150.65354304*E27*F27</f>
        <v>1506.5354303999998</v>
      </c>
      <c r="K27" s="7">
        <f>32.4348216192*E27*F27</f>
        <v>324.348216192</v>
      </c>
      <c r="L27" s="7">
        <f>31.649904*E27*F27</f>
        <v>316.49904</v>
      </c>
      <c r="M27" s="20">
        <f t="shared" si="0"/>
        <v>3729.877886592</v>
      </c>
      <c r="N27" s="23">
        <f t="shared" si="2"/>
        <v>4308.0089590137595</v>
      </c>
      <c r="O27" s="24">
        <f t="shared" si="3"/>
        <v>0.022255607073702482</v>
      </c>
    </row>
    <row r="28" spans="2:15" ht="12">
      <c r="B28" s="4">
        <v>25</v>
      </c>
      <c r="C28" s="5" t="s">
        <v>49</v>
      </c>
      <c r="D28" s="5" t="s">
        <v>48</v>
      </c>
      <c r="E28" s="6">
        <v>2</v>
      </c>
      <c r="F28" s="6">
        <v>1</v>
      </c>
      <c r="G28" s="7">
        <f>969.743742*E28*F28</f>
        <v>1939.487484</v>
      </c>
      <c r="H28" s="7">
        <f>2216.4969*E28*F28</f>
        <v>4432.9938</v>
      </c>
      <c r="I28" s="7">
        <f t="shared" si="1"/>
        <v>0</v>
      </c>
      <c r="J28" s="7">
        <f>923.196042384*E28*F28</f>
        <v>1846.392084768</v>
      </c>
      <c r="K28" s="7">
        <f>431.49085186032*E28*F28</f>
        <v>862.98170372064</v>
      </c>
      <c r="L28" s="7">
        <f>193.9487484*E28*F28</f>
        <v>387.8974968</v>
      </c>
      <c r="M28" s="20">
        <f t="shared" si="0"/>
        <v>9469.75256928864</v>
      </c>
      <c r="N28" s="23">
        <f t="shared" si="2"/>
        <v>10937.56421752838</v>
      </c>
      <c r="O28" s="24">
        <f t="shared" si="3"/>
        <v>0.05650455555794081</v>
      </c>
    </row>
    <row r="29" spans="2:15" ht="24">
      <c r="B29" s="4">
        <v>26</v>
      </c>
      <c r="C29" s="5" t="s">
        <v>50</v>
      </c>
      <c r="D29" s="5" t="s">
        <v>17</v>
      </c>
      <c r="E29" s="6">
        <v>0.05</v>
      </c>
      <c r="F29" s="6">
        <v>1</v>
      </c>
      <c r="G29" s="7">
        <f>10076.6754*E29*F29</f>
        <v>503.83377</v>
      </c>
      <c r="H29" s="7">
        <f>11836.90919922*E29*F29</f>
        <v>591.845459961</v>
      </c>
      <c r="I29" s="7">
        <f t="shared" si="1"/>
        <v>0</v>
      </c>
      <c r="J29" s="7">
        <f>9592.9949808*E29*F29</f>
        <v>479.64974904</v>
      </c>
      <c r="K29" s="7">
        <f>3308.1908559021*E29*F29</f>
        <v>165.409542795105</v>
      </c>
      <c r="L29" s="7">
        <f>2015.33508*E29*F29</f>
        <v>100.766754</v>
      </c>
      <c r="M29" s="20">
        <f t="shared" si="0"/>
        <v>1841.5052757961048</v>
      </c>
      <c r="N29" s="23">
        <f t="shared" si="2"/>
        <v>2126.938593544501</v>
      </c>
      <c r="O29" s="24">
        <f t="shared" si="3"/>
        <v>0.010987978450875041</v>
      </c>
    </row>
    <row r="30" spans="2:15" ht="12">
      <c r="B30" s="4">
        <v>27</v>
      </c>
      <c r="C30" s="5" t="s">
        <v>51</v>
      </c>
      <c r="D30" s="5" t="s">
        <v>17</v>
      </c>
      <c r="E30" s="6">
        <v>0.05</v>
      </c>
      <c r="F30" s="6">
        <v>1</v>
      </c>
      <c r="G30" s="7">
        <f>38316.2472*E30*F30</f>
        <v>1915.81236</v>
      </c>
      <c r="H30" s="7">
        <f>148064.917737*E30*F30</f>
        <v>7403.245886850001</v>
      </c>
      <c r="I30" s="7">
        <f t="shared" si="1"/>
        <v>0</v>
      </c>
      <c r="J30" s="7">
        <f>36477.0673344*E30*F30</f>
        <v>1823.8533667200002</v>
      </c>
      <c r="K30" s="7">
        <f>23400.114388497*E30*F30</f>
        <v>1170.00571942485</v>
      </c>
      <c r="L30" s="7">
        <f>7663.24944*E30*F30</f>
        <v>383.162472</v>
      </c>
      <c r="M30" s="20">
        <f t="shared" si="0"/>
        <v>12696.07980499485</v>
      </c>
      <c r="N30" s="23">
        <f t="shared" si="2"/>
        <v>14663.972174769053</v>
      </c>
      <c r="O30" s="24">
        <f t="shared" si="3"/>
        <v>0.0757555534276511</v>
      </c>
    </row>
    <row r="31" spans="2:15" ht="12">
      <c r="B31" s="4">
        <v>28</v>
      </c>
      <c r="C31" s="5" t="s">
        <v>52</v>
      </c>
      <c r="D31" s="5" t="s">
        <v>17</v>
      </c>
      <c r="E31" s="6">
        <v>0.05</v>
      </c>
      <c r="F31" s="6">
        <v>1</v>
      </c>
      <c r="G31" s="7">
        <f>52498.2348*E31*F31</f>
        <v>2624.91174</v>
      </c>
      <c r="H31" s="7">
        <f>274431.583947*E31*F31</f>
        <v>13721.57919735</v>
      </c>
      <c r="I31" s="7">
        <f t="shared" si="1"/>
        <v>0</v>
      </c>
      <c r="J31" s="7">
        <f>49978.3195296*E31*F31</f>
        <v>2498.91597648</v>
      </c>
      <c r="K31" s="7">
        <f>39575.354519043*E31*F31</f>
        <v>1978.7677259521502</v>
      </c>
      <c r="L31" s="7">
        <f>10499.64696*E31*F31</f>
        <v>524.982348</v>
      </c>
      <c r="M31" s="20">
        <f t="shared" si="0"/>
        <v>21349.156987782153</v>
      </c>
      <c r="N31" s="23">
        <f t="shared" si="2"/>
        <v>24658.276320888388</v>
      </c>
      <c r="O31" s="24">
        <f t="shared" si="3"/>
        <v>0.12738713269484667</v>
      </c>
    </row>
    <row r="32" spans="2:15" ht="12">
      <c r="B32" s="4">
        <v>29</v>
      </c>
      <c r="C32" s="5" t="s">
        <v>53</v>
      </c>
      <c r="D32" s="5" t="s">
        <v>17</v>
      </c>
      <c r="E32" s="6">
        <v>0.05</v>
      </c>
      <c r="F32" s="6">
        <v>1</v>
      </c>
      <c r="G32" s="7">
        <f>68297.4666*E32*F32</f>
        <v>3414.8733300000004</v>
      </c>
      <c r="H32" s="7">
        <f>477442.067967*E32*F32</f>
        <v>23872.103398350002</v>
      </c>
      <c r="I32" s="7">
        <f t="shared" si="1"/>
        <v>0</v>
      </c>
      <c r="J32" s="7">
        <f>65019.1882032*E32*F32</f>
        <v>3250.95941016</v>
      </c>
      <c r="K32" s="7">
        <f>64129.665890871*E32*F32</f>
        <v>3206.48329454355</v>
      </c>
      <c r="L32" s="7">
        <f>13659.49332*E32*F32</f>
        <v>682.9746660000001</v>
      </c>
      <c r="M32" s="20">
        <f t="shared" si="0"/>
        <v>34427.394099053556</v>
      </c>
      <c r="N32" s="23">
        <f t="shared" si="2"/>
        <v>39763.64018440686</v>
      </c>
      <c r="O32" s="24">
        <f t="shared" si="3"/>
        <v>0.20542295992969384</v>
      </c>
    </row>
    <row r="33" spans="2:15" ht="24">
      <c r="B33" s="4">
        <v>30</v>
      </c>
      <c r="C33" s="5" t="s">
        <v>54</v>
      </c>
      <c r="D33" s="5" t="s">
        <v>55</v>
      </c>
      <c r="E33" s="6">
        <v>30</v>
      </c>
      <c r="F33" s="6">
        <v>1</v>
      </c>
      <c r="G33" s="7">
        <f>51.450168*E33*F33</f>
        <v>1543.50504</v>
      </c>
      <c r="H33" s="7">
        <f>234.8685*E33*F33</f>
        <v>7046.055</v>
      </c>
      <c r="I33" s="7">
        <f t="shared" si="1"/>
        <v>0</v>
      </c>
      <c r="J33" s="7">
        <f>48.980559936*E33*F33</f>
        <v>1469.41679808</v>
      </c>
      <c r="K33" s="7">
        <f>35.20641893328*E33*F33</f>
        <v>1056.1925679984</v>
      </c>
      <c r="L33" s="7">
        <f>10.2900336*E33*F33</f>
        <v>308.701008</v>
      </c>
      <c r="M33" s="20">
        <f t="shared" si="0"/>
        <v>11423.8704140784</v>
      </c>
      <c r="N33" s="23">
        <f t="shared" si="2"/>
        <v>13194.570328260552</v>
      </c>
      <c r="O33" s="24">
        <f t="shared" si="3"/>
        <v>0.06816447586945756</v>
      </c>
    </row>
    <row r="34" spans="2:15" ht="24">
      <c r="B34" s="4">
        <v>31</v>
      </c>
      <c r="C34" s="5" t="s">
        <v>56</v>
      </c>
      <c r="D34" s="5" t="s">
        <v>57</v>
      </c>
      <c r="E34" s="6">
        <v>30</v>
      </c>
      <c r="F34" s="6">
        <v>1</v>
      </c>
      <c r="G34" s="7">
        <f>139.787076*E34*F34</f>
        <v>4193.61228</v>
      </c>
      <c r="H34" s="7">
        <f>1680.0201*E34*F34</f>
        <v>50400.602999999996</v>
      </c>
      <c r="I34" s="7">
        <f t="shared" si="1"/>
        <v>0</v>
      </c>
      <c r="J34" s="7">
        <f>133.077296352*E34*F34</f>
        <v>3992.3188905599995</v>
      </c>
      <c r="K34" s="7">
        <f>205.05286959696*E34*F34</f>
        <v>6151.5860879087995</v>
      </c>
      <c r="L34" s="7">
        <f>27.9574152*E34*F34</f>
        <v>838.722456</v>
      </c>
      <c r="M34" s="20">
        <f t="shared" si="0"/>
        <v>65576.84271446879</v>
      </c>
      <c r="N34" s="23">
        <f t="shared" si="2"/>
        <v>75741.25333521146</v>
      </c>
      <c r="O34" s="24">
        <f t="shared" si="3"/>
        <v>0.3912869238517384</v>
      </c>
    </row>
    <row r="35" spans="2:15" ht="12">
      <c r="B35" s="4">
        <v>32</v>
      </c>
      <c r="C35" s="5" t="s">
        <v>58</v>
      </c>
      <c r="D35" s="5" t="s">
        <v>59</v>
      </c>
      <c r="E35" s="6">
        <v>1</v>
      </c>
      <c r="F35" s="6">
        <v>1</v>
      </c>
      <c r="G35" s="7">
        <f>29.23305*E35*F35</f>
        <v>29.23305</v>
      </c>
      <c r="H35" s="7">
        <f>3782.0409*E35*F35</f>
        <v>3782.0409</v>
      </c>
      <c r="I35" s="7">
        <f t="shared" si="1"/>
        <v>0</v>
      </c>
      <c r="J35" s="7">
        <f>27.8298636*E35*F35</f>
        <v>27.8298636</v>
      </c>
      <c r="K35" s="7">
        <f>403.105900428*E35*F35</f>
        <v>403.105900428</v>
      </c>
      <c r="L35" s="7">
        <f>5.84661*E35*F35</f>
        <v>5.84661</v>
      </c>
      <c r="M35" s="20">
        <f t="shared" si="0"/>
        <v>4248.056324027999</v>
      </c>
      <c r="N35" s="23">
        <f t="shared" si="2"/>
        <v>4906.505054252339</v>
      </c>
      <c r="O35" s="24">
        <f t="shared" si="3"/>
        <v>0.02534749802785323</v>
      </c>
    </row>
    <row r="36" spans="2:15" ht="12">
      <c r="B36" s="4">
        <v>33</v>
      </c>
      <c r="C36" s="5" t="s">
        <v>60</v>
      </c>
      <c r="D36" s="5" t="s">
        <v>61</v>
      </c>
      <c r="E36" s="6">
        <v>20</v>
      </c>
      <c r="F36" s="6">
        <v>1</v>
      </c>
      <c r="G36" s="7">
        <f>9.354576*E36*F36</f>
        <v>187.09152</v>
      </c>
      <c r="H36" s="7">
        <f>884.247*E36*F36</f>
        <v>17684.94</v>
      </c>
      <c r="I36" s="7">
        <f t="shared" si="1"/>
        <v>0</v>
      </c>
      <c r="J36" s="7">
        <f>8.905556352*E36*F36</f>
        <v>178.11112703999999</v>
      </c>
      <c r="K36" s="7">
        <f>94.76324889696*E36*F36</f>
        <v>1895.2649779392</v>
      </c>
      <c r="L36" s="7">
        <f>1.8709152*E36*F36</f>
        <v>37.418304</v>
      </c>
      <c r="M36" s="20">
        <f aca="true" t="shared" si="4" ref="M36:M67">SUM(G36:L36)</f>
        <v>19982.8259289792</v>
      </c>
      <c r="N36" s="23">
        <f t="shared" si="2"/>
        <v>23080.163947970977</v>
      </c>
      <c r="O36" s="24">
        <f t="shared" si="3"/>
        <v>0.1192344456359417</v>
      </c>
    </row>
    <row r="37" spans="2:15" ht="12">
      <c r="B37" s="4">
        <v>34</v>
      </c>
      <c r="C37" s="5" t="s">
        <v>62</v>
      </c>
      <c r="D37" s="5" t="s">
        <v>63</v>
      </c>
      <c r="E37" s="6">
        <v>2</v>
      </c>
      <c r="F37" s="6">
        <v>1</v>
      </c>
      <c r="G37" s="7">
        <f>51.450168*E37*F37</f>
        <v>102.900336</v>
      </c>
      <c r="H37" s="7">
        <f>139.7403*E37*F37</f>
        <v>279.4806</v>
      </c>
      <c r="I37" s="7">
        <f aca="true" t="shared" si="5" ref="I37:I68">0*E37*F37</f>
        <v>0</v>
      </c>
      <c r="J37" s="7">
        <f>48.980559936*E37*F37</f>
        <v>97.961119872</v>
      </c>
      <c r="K37" s="7">
        <f>25.21795793328*E37*F37</f>
        <v>50.43591586656</v>
      </c>
      <c r="L37" s="7">
        <f>10.2900336*E37*F37</f>
        <v>20.5800672</v>
      </c>
      <c r="M37" s="20">
        <f t="shared" si="4"/>
        <v>551.35803893856</v>
      </c>
      <c r="N37" s="23">
        <f t="shared" si="2"/>
        <v>636.8185349740368</v>
      </c>
      <c r="O37" s="24">
        <f t="shared" si="3"/>
        <v>0.0032898685277752125</v>
      </c>
    </row>
    <row r="38" spans="2:15" ht="12">
      <c r="B38" s="4">
        <v>35</v>
      </c>
      <c r="C38" s="5" t="s">
        <v>64</v>
      </c>
      <c r="D38" s="5" t="s">
        <v>65</v>
      </c>
      <c r="E38" s="6">
        <v>1</v>
      </c>
      <c r="F38" s="6">
        <v>1</v>
      </c>
      <c r="G38" s="7">
        <f>123.948132*E38*F38</f>
        <v>123.948132</v>
      </c>
      <c r="H38" s="7">
        <f>25.93383414*E38*F38</f>
        <v>25.93383414</v>
      </c>
      <c r="I38" s="7">
        <f t="shared" si="5"/>
        <v>0</v>
      </c>
      <c r="J38" s="7">
        <f>117.998621664*E38*F38</f>
        <v>117.998621664</v>
      </c>
      <c r="K38" s="7">
        <f>28.12746171942*E38*F38</f>
        <v>28.12746171942</v>
      </c>
      <c r="L38" s="7">
        <f>24.7896264*E38*F38</f>
        <v>24.7896264</v>
      </c>
      <c r="M38" s="20">
        <f t="shared" si="4"/>
        <v>320.79767592342</v>
      </c>
      <c r="N38" s="23">
        <f t="shared" si="2"/>
        <v>370.5213156915501</v>
      </c>
      <c r="O38" s="24">
        <f t="shared" si="3"/>
        <v>0.0019141503401957237</v>
      </c>
    </row>
    <row r="39" spans="2:15" ht="12">
      <c r="B39" s="4">
        <v>36</v>
      </c>
      <c r="C39" s="5" t="s">
        <v>66</v>
      </c>
      <c r="D39" s="5" t="s">
        <v>67</v>
      </c>
      <c r="E39" s="6">
        <v>10</v>
      </c>
      <c r="F39" s="6">
        <v>1</v>
      </c>
      <c r="G39" s="7">
        <f>81.85254*E39*F39</f>
        <v>818.5254</v>
      </c>
      <c r="H39" s="7">
        <f>23.59683414*E39*F39</f>
        <v>235.96834139999999</v>
      </c>
      <c r="I39" s="7">
        <f t="shared" si="5"/>
        <v>0</v>
      </c>
      <c r="J39" s="7">
        <f>77.92361808*E39*F39</f>
        <v>779.2361807999999</v>
      </c>
      <c r="K39" s="7">
        <f>19.2541641831*E39*F39</f>
        <v>192.541641831</v>
      </c>
      <c r="L39" s="7">
        <f>16.370508*E39*F39</f>
        <v>163.70508</v>
      </c>
      <c r="M39" s="20">
        <f t="shared" si="4"/>
        <v>2189.9766440310004</v>
      </c>
      <c r="N39" s="23">
        <f t="shared" si="2"/>
        <v>2529.4230238558057</v>
      </c>
      <c r="O39" s="24">
        <f t="shared" si="3"/>
        <v>0.013067253452276627</v>
      </c>
    </row>
    <row r="40" spans="2:15" ht="24">
      <c r="B40" s="4">
        <v>37</v>
      </c>
      <c r="C40" s="5" t="s">
        <v>68</v>
      </c>
      <c r="D40" s="5" t="s">
        <v>69</v>
      </c>
      <c r="E40" s="6">
        <v>1</v>
      </c>
      <c r="F40" s="6">
        <v>1</v>
      </c>
      <c r="G40" s="7">
        <f>112.254912*E40*F40</f>
        <v>112.254912</v>
      </c>
      <c r="H40" s="7">
        <f>5164.1427*E40*F40</f>
        <v>5164.1427</v>
      </c>
      <c r="I40" s="7">
        <f t="shared" si="5"/>
        <v>0</v>
      </c>
      <c r="J40" s="7">
        <f>106.866676224*E40*F40</f>
        <v>106.866676224</v>
      </c>
      <c r="K40" s="7">
        <f>565.24275026352*E40*F40</f>
        <v>565.24275026352</v>
      </c>
      <c r="L40" s="7">
        <f>22.4509824*E40*F40</f>
        <v>22.4509824</v>
      </c>
      <c r="M40" s="20">
        <f t="shared" si="4"/>
        <v>5970.95802088752</v>
      </c>
      <c r="N40" s="23">
        <f t="shared" si="2"/>
        <v>6896.456514125086</v>
      </c>
      <c r="O40" s="24">
        <f t="shared" si="3"/>
        <v>0.035627787184170895</v>
      </c>
    </row>
    <row r="41" spans="2:15" ht="12">
      <c r="B41" s="4">
        <v>38</v>
      </c>
      <c r="C41" s="5" t="s">
        <v>70</v>
      </c>
      <c r="D41" s="5" t="s">
        <v>71</v>
      </c>
      <c r="E41" s="6">
        <v>10</v>
      </c>
      <c r="F41" s="6">
        <v>1</v>
      </c>
      <c r="G41" s="7">
        <f>22.217118*E41*F41</f>
        <v>222.17118</v>
      </c>
      <c r="H41" s="7">
        <f>62.8407*E41*F41</f>
        <v>628.4069999999999</v>
      </c>
      <c r="I41" s="7">
        <f t="shared" si="5"/>
        <v>0</v>
      </c>
      <c r="J41" s="7">
        <f>21.150696336*E41*F41</f>
        <v>211.50696336</v>
      </c>
      <c r="K41" s="7">
        <f>11.15189400528*E41*F41</f>
        <v>111.5189400528</v>
      </c>
      <c r="L41" s="7">
        <f>4.4434236*E41*F41</f>
        <v>44.434236</v>
      </c>
      <c r="M41" s="20">
        <f t="shared" si="4"/>
        <v>1218.0383194128</v>
      </c>
      <c r="N41" s="23">
        <f t="shared" si="2"/>
        <v>1406.834258921784</v>
      </c>
      <c r="O41" s="24">
        <f t="shared" si="3"/>
        <v>0.0072678471150520755</v>
      </c>
    </row>
    <row r="42" spans="2:15" ht="36">
      <c r="B42" s="4">
        <v>39</v>
      </c>
      <c r="C42" s="5" t="s">
        <v>72</v>
      </c>
      <c r="D42" s="5" t="s">
        <v>73</v>
      </c>
      <c r="E42" s="6">
        <v>0.5</v>
      </c>
      <c r="F42" s="6">
        <v>2</v>
      </c>
      <c r="G42" s="7">
        <f>2716.61676*E42*F42</f>
        <v>2716.61676</v>
      </c>
      <c r="H42" s="7">
        <f>2223.039763968*E42*F42</f>
        <v>2223.039763968</v>
      </c>
      <c r="I42" s="7">
        <f t="shared" si="5"/>
        <v>0</v>
      </c>
      <c r="J42" s="7">
        <f>2586.21915552*E42*F42</f>
        <v>2586.21915552</v>
      </c>
      <c r="K42" s="7">
        <f>790.21694634624*E42*F42</f>
        <v>790.21694634624</v>
      </c>
      <c r="L42" s="7">
        <f>543.323352*E42*F42</f>
        <v>543.323352</v>
      </c>
      <c r="M42" s="20">
        <f t="shared" si="4"/>
        <v>8859.41597783424</v>
      </c>
      <c r="N42" s="23">
        <f t="shared" si="2"/>
        <v>10232.625454398547</v>
      </c>
      <c r="O42" s="24">
        <f t="shared" si="3"/>
        <v>0.05286277108801458</v>
      </c>
    </row>
    <row r="43" spans="2:15" ht="24">
      <c r="B43" s="4">
        <v>40</v>
      </c>
      <c r="C43" s="5" t="s">
        <v>74</v>
      </c>
      <c r="D43" s="5" t="s">
        <v>75</v>
      </c>
      <c r="E43" s="6">
        <v>6</v>
      </c>
      <c r="F43" s="6">
        <v>2</v>
      </c>
      <c r="G43" s="7">
        <f>45.603558*E43*F43</f>
        <v>547.242696</v>
      </c>
      <c r="H43" s="7">
        <f aca="true" t="shared" si="6" ref="H43:H50">0*E43*F43</f>
        <v>0</v>
      </c>
      <c r="I43" s="7">
        <f t="shared" si="5"/>
        <v>0</v>
      </c>
      <c r="J43" s="7">
        <f>43.414587216*E43*F43</f>
        <v>520.975046592</v>
      </c>
      <c r="K43" s="7">
        <f>9.34690524768*E43*F43</f>
        <v>112.16286297216001</v>
      </c>
      <c r="L43" s="7">
        <f>9.1207116*E43*F43</f>
        <v>109.4485392</v>
      </c>
      <c r="M43" s="20">
        <f t="shared" si="4"/>
        <v>1289.8291447641598</v>
      </c>
      <c r="N43" s="23">
        <f t="shared" si="2"/>
        <v>1489.7526622026046</v>
      </c>
      <c r="O43" s="24">
        <f t="shared" si="3"/>
        <v>0.00769621191655407</v>
      </c>
    </row>
    <row r="44" spans="2:15" ht="24">
      <c r="B44" s="4">
        <v>41</v>
      </c>
      <c r="C44" s="5" t="s">
        <v>76</v>
      </c>
      <c r="D44" s="5" t="s">
        <v>75</v>
      </c>
      <c r="E44" s="6">
        <v>1.5</v>
      </c>
      <c r="F44" s="6">
        <v>2</v>
      </c>
      <c r="G44" s="7">
        <f>363.659142*E44*F44</f>
        <v>1090.977426</v>
      </c>
      <c r="H44" s="7">
        <f t="shared" si="6"/>
        <v>0</v>
      </c>
      <c r="I44" s="7">
        <f t="shared" si="5"/>
        <v>0</v>
      </c>
      <c r="J44" s="7">
        <f>346.203503184*E44*F44</f>
        <v>1038.610509552</v>
      </c>
      <c r="K44" s="7">
        <f>74.53557774432*E44*F44</f>
        <v>223.60673323295998</v>
      </c>
      <c r="L44" s="7">
        <f>72.7318284*E44*F44</f>
        <v>218.1954852</v>
      </c>
      <c r="M44" s="20">
        <f t="shared" si="4"/>
        <v>2571.39015398496</v>
      </c>
      <c r="N44" s="23">
        <f t="shared" si="2"/>
        <v>2969.955627852629</v>
      </c>
      <c r="O44" s="24">
        <f t="shared" si="3"/>
        <v>0.015343089141335359</v>
      </c>
    </row>
    <row r="45" spans="2:15" ht="12">
      <c r="B45" s="4">
        <v>42</v>
      </c>
      <c r="C45" s="5" t="s">
        <v>77</v>
      </c>
      <c r="D45" s="5" t="s">
        <v>78</v>
      </c>
      <c r="E45" s="6">
        <v>1.5</v>
      </c>
      <c r="F45" s="6">
        <v>2</v>
      </c>
      <c r="G45" s="7">
        <f>180.668202*E45*F45</f>
        <v>542.004606</v>
      </c>
      <c r="H45" s="7">
        <f t="shared" si="6"/>
        <v>0</v>
      </c>
      <c r="I45" s="7">
        <f t="shared" si="5"/>
        <v>0</v>
      </c>
      <c r="J45" s="7">
        <f>171.996128304*E45*F45</f>
        <v>515.988384912</v>
      </c>
      <c r="K45" s="7">
        <f>37.02975468192*E45*F45</f>
        <v>111.08926404575999</v>
      </c>
      <c r="L45" s="7">
        <f>36.1336404*E45*F45</f>
        <v>108.4009212</v>
      </c>
      <c r="M45" s="20">
        <f t="shared" si="4"/>
        <v>1277.4831761577602</v>
      </c>
      <c r="N45" s="23">
        <f t="shared" si="2"/>
        <v>1475.4930684622132</v>
      </c>
      <c r="O45" s="24">
        <f t="shared" si="3"/>
        <v>0.007622545422743102</v>
      </c>
    </row>
    <row r="46" spans="2:15" ht="12">
      <c r="B46" s="4">
        <v>43</v>
      </c>
      <c r="C46" s="5" t="s">
        <v>79</v>
      </c>
      <c r="D46" s="5" t="s">
        <v>78</v>
      </c>
      <c r="E46" s="6">
        <v>1.5</v>
      </c>
      <c r="F46" s="6">
        <v>2</v>
      </c>
      <c r="G46" s="7">
        <f>147.699552*E46*F46</f>
        <v>443.098656</v>
      </c>
      <c r="H46" s="7">
        <f t="shared" si="6"/>
        <v>0</v>
      </c>
      <c r="I46" s="7">
        <f t="shared" si="5"/>
        <v>0</v>
      </c>
      <c r="J46" s="7">
        <f>140.609973504*E46*F46</f>
        <v>421.82992051200006</v>
      </c>
      <c r="K46" s="7">
        <f>30.27250017792*E46*F46</f>
        <v>90.81750053376001</v>
      </c>
      <c r="L46" s="7">
        <f>29.5399104*E46*F46</f>
        <v>88.6197312</v>
      </c>
      <c r="M46" s="20">
        <f t="shared" si="4"/>
        <v>1044.36580824576</v>
      </c>
      <c r="N46" s="23">
        <f t="shared" si="2"/>
        <v>1206.2425085238528</v>
      </c>
      <c r="O46" s="24">
        <f t="shared" si="3"/>
        <v>0.006231569980636695</v>
      </c>
    </row>
    <row r="47" spans="2:15" ht="24">
      <c r="B47" s="4">
        <v>44</v>
      </c>
      <c r="C47" s="5" t="s">
        <v>80</v>
      </c>
      <c r="D47" s="5" t="s">
        <v>75</v>
      </c>
      <c r="E47" s="6">
        <v>1.5</v>
      </c>
      <c r="F47" s="6">
        <v>2</v>
      </c>
      <c r="G47" s="7">
        <f>527.4984*E47*F47</f>
        <v>1582.4951999999998</v>
      </c>
      <c r="H47" s="7">
        <f t="shared" si="6"/>
        <v>0</v>
      </c>
      <c r="I47" s="7">
        <f t="shared" si="5"/>
        <v>0</v>
      </c>
      <c r="J47" s="7">
        <f>502.1784768*E47*F47</f>
        <v>1506.5354304</v>
      </c>
      <c r="K47" s="7">
        <f>108.116072064*E47*F47</f>
        <v>324.348216192</v>
      </c>
      <c r="L47" s="7">
        <f>105.49968*E47*F47</f>
        <v>316.49904</v>
      </c>
      <c r="M47" s="20">
        <f t="shared" si="4"/>
        <v>3729.877886592</v>
      </c>
      <c r="N47" s="23">
        <f t="shared" si="2"/>
        <v>4308.0089590137595</v>
      </c>
      <c r="O47" s="24">
        <f t="shared" si="3"/>
        <v>0.022255607073702482</v>
      </c>
    </row>
    <row r="48" spans="2:15" ht="12">
      <c r="B48" s="4">
        <v>45</v>
      </c>
      <c r="C48" s="5" t="s">
        <v>81</v>
      </c>
      <c r="D48" s="5" t="s">
        <v>82</v>
      </c>
      <c r="E48" s="6">
        <v>1</v>
      </c>
      <c r="F48" s="6">
        <v>2</v>
      </c>
      <c r="G48" s="7">
        <f>369.24888*E48*F48</f>
        <v>738.49776</v>
      </c>
      <c r="H48" s="7">
        <f t="shared" si="6"/>
        <v>0</v>
      </c>
      <c r="I48" s="7">
        <f t="shared" si="5"/>
        <v>0</v>
      </c>
      <c r="J48" s="7">
        <f>351.52493376*E48*F48</f>
        <v>703.04986752</v>
      </c>
      <c r="K48" s="7">
        <f>75.6812504448*E48*F48</f>
        <v>151.3625008896</v>
      </c>
      <c r="L48" s="7">
        <f>73.849776*E48*F48</f>
        <v>147.699552</v>
      </c>
      <c r="M48" s="20">
        <f t="shared" si="4"/>
        <v>1740.6096804095998</v>
      </c>
      <c r="N48" s="23">
        <f t="shared" si="2"/>
        <v>2010.4041808730879</v>
      </c>
      <c r="O48" s="24">
        <f t="shared" si="3"/>
        <v>0.010385949967727825</v>
      </c>
    </row>
    <row r="49" spans="2:15" ht="24">
      <c r="B49" s="4">
        <v>46</v>
      </c>
      <c r="C49" s="5" t="s">
        <v>83</v>
      </c>
      <c r="D49" s="5" t="s">
        <v>84</v>
      </c>
      <c r="E49" s="6">
        <v>2.62</v>
      </c>
      <c r="F49" s="6">
        <v>2</v>
      </c>
      <c r="G49" s="7">
        <f>7912.476*E49*F49</f>
        <v>41461.37424</v>
      </c>
      <c r="H49" s="7">
        <f t="shared" si="6"/>
        <v>0</v>
      </c>
      <c r="I49" s="7">
        <f t="shared" si="5"/>
        <v>0</v>
      </c>
      <c r="J49" s="7">
        <f>7532.677152*E49*F49</f>
        <v>39471.228276480004</v>
      </c>
      <c r="K49" s="7">
        <f>1621.74108096*E49*F49</f>
        <v>8497.923264230401</v>
      </c>
      <c r="L49" s="7">
        <f>1582.4952*E49*F49</f>
        <v>8292.274848000001</v>
      </c>
      <c r="M49" s="20">
        <f t="shared" si="4"/>
        <v>97722.80062871039</v>
      </c>
      <c r="N49" s="23">
        <f t="shared" si="2"/>
        <v>112869.83472616051</v>
      </c>
      <c r="O49" s="24">
        <f t="shared" si="3"/>
        <v>0.583096905331005</v>
      </c>
    </row>
    <row r="50" spans="2:15" ht="12">
      <c r="B50" s="4">
        <v>47</v>
      </c>
      <c r="C50" s="5" t="s">
        <v>85</v>
      </c>
      <c r="D50" s="5" t="s">
        <v>86</v>
      </c>
      <c r="E50" s="6">
        <v>4</v>
      </c>
      <c r="F50" s="6">
        <v>2</v>
      </c>
      <c r="G50" s="7">
        <f>114.730902*E50*F50</f>
        <v>917.847216</v>
      </c>
      <c r="H50" s="7">
        <f t="shared" si="6"/>
        <v>0</v>
      </c>
      <c r="I50" s="7">
        <f t="shared" si="5"/>
        <v>0</v>
      </c>
      <c r="J50" s="7">
        <f>109.223818704*E50*F50</f>
        <v>873.790549632</v>
      </c>
      <c r="K50" s="7">
        <f>23.51524567392*E50*F50</f>
        <v>188.12196539136</v>
      </c>
      <c r="L50" s="7">
        <f>22.9461804*E50*F50</f>
        <v>183.5694432</v>
      </c>
      <c r="M50" s="20">
        <f t="shared" si="4"/>
        <v>2163.32917422336</v>
      </c>
      <c r="N50" s="23">
        <f t="shared" si="2"/>
        <v>2498.6451962279807</v>
      </c>
      <c r="O50" s="24">
        <f t="shared" si="3"/>
        <v>0.01290825210274744</v>
      </c>
    </row>
    <row r="51" spans="2:15" ht="36">
      <c r="B51" s="4">
        <v>48</v>
      </c>
      <c r="C51" s="5" t="s">
        <v>87</v>
      </c>
      <c r="D51" s="5" t="s">
        <v>88</v>
      </c>
      <c r="E51" s="6">
        <v>2.5</v>
      </c>
      <c r="F51" s="6">
        <v>2</v>
      </c>
      <c r="G51" s="7">
        <f>4141.3878*E51*F51</f>
        <v>20706.939000000002</v>
      </c>
      <c r="H51" s="7">
        <f>676.8955065*E51*F51</f>
        <v>3384.4775325</v>
      </c>
      <c r="I51" s="7">
        <f t="shared" si="5"/>
        <v>0</v>
      </c>
      <c r="J51" s="7">
        <f>3942.6011856*E51*F51</f>
        <v>19713.005928</v>
      </c>
      <c r="K51" s="7">
        <f>919.8928716705*E51*F51</f>
        <v>4599.464358352499</v>
      </c>
      <c r="L51" s="7">
        <f>828.27756*E51*F51</f>
        <v>4141.3878</v>
      </c>
      <c r="M51" s="20">
        <f t="shared" si="4"/>
        <v>52545.274618852505</v>
      </c>
      <c r="N51" s="23">
        <f t="shared" si="2"/>
        <v>60689.79218477465</v>
      </c>
      <c r="O51" s="24">
        <f t="shared" si="3"/>
        <v>0.3135295634478485</v>
      </c>
    </row>
    <row r="52" spans="2:15" ht="24">
      <c r="B52" s="4">
        <v>49</v>
      </c>
      <c r="C52" s="5" t="s">
        <v>89</v>
      </c>
      <c r="D52" s="5" t="s">
        <v>90</v>
      </c>
      <c r="E52" s="6">
        <v>26.3</v>
      </c>
      <c r="F52" s="6">
        <v>1</v>
      </c>
      <c r="G52" s="7">
        <f>491.11524*E52*F52</f>
        <v>12916.330812</v>
      </c>
      <c r="H52" s="7">
        <f>0*E52*F52</f>
        <v>0</v>
      </c>
      <c r="I52" s="7">
        <f t="shared" si="5"/>
        <v>0</v>
      </c>
      <c r="J52" s="7">
        <f>467.54170848*E52*F52</f>
        <v>12296.346933024</v>
      </c>
      <c r="K52" s="7">
        <f>100.6589795904*E52*F52</f>
        <v>2647.33116322752</v>
      </c>
      <c r="L52" s="7">
        <f>98.223048*E52*F52</f>
        <v>2583.2661624</v>
      </c>
      <c r="M52" s="20">
        <f t="shared" si="4"/>
        <v>30443.275070651518</v>
      </c>
      <c r="N52" s="23">
        <f t="shared" si="2"/>
        <v>35161.9827066025</v>
      </c>
      <c r="O52" s="24">
        <f t="shared" si="3"/>
        <v>0.18165033510738515</v>
      </c>
    </row>
    <row r="53" spans="2:15" ht="24">
      <c r="B53" s="4">
        <v>50</v>
      </c>
      <c r="C53" s="5" t="s">
        <v>91</v>
      </c>
      <c r="D53" s="5" t="s">
        <v>90</v>
      </c>
      <c r="E53" s="6">
        <v>0.1</v>
      </c>
      <c r="F53" s="6">
        <v>2</v>
      </c>
      <c r="G53" s="7">
        <f>491.11524*E53*F53</f>
        <v>98.223048</v>
      </c>
      <c r="H53" s="7">
        <f>0*E53*F53</f>
        <v>0</v>
      </c>
      <c r="I53" s="7">
        <f t="shared" si="5"/>
        <v>0</v>
      </c>
      <c r="J53" s="7">
        <f>467.54170848*E53*F53</f>
        <v>93.508341696</v>
      </c>
      <c r="K53" s="7">
        <f>100.6589795904*E53*F53</f>
        <v>20.13179591808</v>
      </c>
      <c r="L53" s="7">
        <f>98.223048*E53*F53</f>
        <v>19.644609600000003</v>
      </c>
      <c r="M53" s="20">
        <f t="shared" si="4"/>
        <v>231.50779521408</v>
      </c>
      <c r="N53" s="23">
        <f t="shared" si="2"/>
        <v>267.3915034722624</v>
      </c>
      <c r="O53" s="24">
        <f t="shared" si="3"/>
        <v>0.00138137136963791</v>
      </c>
    </row>
    <row r="54" spans="2:15" ht="24">
      <c r="B54" s="4">
        <v>51</v>
      </c>
      <c r="C54" s="5" t="s">
        <v>92</v>
      </c>
      <c r="D54" s="5" t="s">
        <v>90</v>
      </c>
      <c r="E54" s="6">
        <v>1.5</v>
      </c>
      <c r="F54" s="6">
        <v>2</v>
      </c>
      <c r="G54" s="7">
        <f>491.11524*E54*F54</f>
        <v>1473.3457199999998</v>
      </c>
      <c r="H54" s="7">
        <f>0*E54*F54</f>
        <v>0</v>
      </c>
      <c r="I54" s="7">
        <f t="shared" si="5"/>
        <v>0</v>
      </c>
      <c r="J54" s="7">
        <f>467.54170848*E54*F54</f>
        <v>1402.62512544</v>
      </c>
      <c r="K54" s="7">
        <f>100.6589795904*E54*F54</f>
        <v>301.97693877119997</v>
      </c>
      <c r="L54" s="7">
        <f>98.223048*E54*F54</f>
        <v>294.669144</v>
      </c>
      <c r="M54" s="20">
        <f t="shared" si="4"/>
        <v>3472.6169282111996</v>
      </c>
      <c r="N54" s="23">
        <f t="shared" si="2"/>
        <v>4010.8725520839357</v>
      </c>
      <c r="O54" s="24">
        <f t="shared" si="3"/>
        <v>0.02072057054456865</v>
      </c>
    </row>
    <row r="55" spans="2:15" ht="24">
      <c r="B55" s="4">
        <v>52</v>
      </c>
      <c r="C55" s="5" t="s">
        <v>93</v>
      </c>
      <c r="D55" s="5" t="s">
        <v>94</v>
      </c>
      <c r="E55" s="6">
        <v>0.6</v>
      </c>
      <c r="F55" s="6">
        <v>2</v>
      </c>
      <c r="G55" s="7">
        <f>1186.8714*E55*F55</f>
        <v>1424.24568</v>
      </c>
      <c r="H55" s="7">
        <f>0*E55*F55</f>
        <v>0</v>
      </c>
      <c r="I55" s="7">
        <f t="shared" si="5"/>
        <v>0</v>
      </c>
      <c r="J55" s="7">
        <f>1129.9015728*E55*F55</f>
        <v>1355.8818873599998</v>
      </c>
      <c r="K55" s="7">
        <f>243.261162144*E55*F55</f>
        <v>291.9133945728</v>
      </c>
      <c r="L55" s="7">
        <f>237.37428*E55*F55</f>
        <v>284.849136</v>
      </c>
      <c r="M55" s="20">
        <f t="shared" si="4"/>
        <v>3356.8900979327996</v>
      </c>
      <c r="N55" s="23">
        <f t="shared" si="2"/>
        <v>3877.2080631123836</v>
      </c>
      <c r="O55" s="24">
        <f t="shared" si="3"/>
        <v>0.020030046366332235</v>
      </c>
    </row>
    <row r="56" spans="2:15" ht="12">
      <c r="B56" s="4">
        <v>53</v>
      </c>
      <c r="C56" s="5" t="s">
        <v>95</v>
      </c>
      <c r="D56" s="5" t="s">
        <v>96</v>
      </c>
      <c r="E56" s="6">
        <v>5</v>
      </c>
      <c r="F56" s="6">
        <v>2</v>
      </c>
      <c r="G56" s="7">
        <f>65.9373*E56*F56</f>
        <v>659.3729999999999</v>
      </c>
      <c r="H56" s="7">
        <f>0*E56*F56</f>
        <v>0</v>
      </c>
      <c r="I56" s="7">
        <f t="shared" si="5"/>
        <v>0</v>
      </c>
      <c r="J56" s="7">
        <f>62.7723096*E56*F56</f>
        <v>627.7230959999999</v>
      </c>
      <c r="K56" s="7">
        <f>13.514509008*E56*F56</f>
        <v>135.14509008</v>
      </c>
      <c r="L56" s="7">
        <f>13.18746*E56*F56</f>
        <v>131.8746</v>
      </c>
      <c r="M56" s="20">
        <f t="shared" si="4"/>
        <v>1554.11578608</v>
      </c>
      <c r="N56" s="23">
        <f t="shared" si="2"/>
        <v>1795.0037329223999</v>
      </c>
      <c r="O56" s="24">
        <f t="shared" si="3"/>
        <v>0.009273169614042702</v>
      </c>
    </row>
    <row r="57" spans="2:15" ht="12">
      <c r="B57" s="4">
        <v>54</v>
      </c>
      <c r="C57" s="5" t="s">
        <v>97</v>
      </c>
      <c r="D57" s="5" t="s">
        <v>98</v>
      </c>
      <c r="E57" s="6">
        <v>2.5</v>
      </c>
      <c r="F57" s="6">
        <v>2</v>
      </c>
      <c r="G57" s="7">
        <f>584.661*E57*F57</f>
        <v>2923.305</v>
      </c>
      <c r="H57" s="7">
        <f>370.23984*E57*F57</f>
        <v>1851.1992</v>
      </c>
      <c r="I57" s="7">
        <f t="shared" si="5"/>
        <v>0</v>
      </c>
      <c r="J57" s="7">
        <f>556.597272*E57*F57</f>
        <v>2782.98636</v>
      </c>
      <c r="K57" s="7">
        <f>158.70730176*E57*F57</f>
        <v>793.5365088000001</v>
      </c>
      <c r="L57" s="7">
        <f>116.9322*E57*F57</f>
        <v>584.661</v>
      </c>
      <c r="M57" s="20">
        <f t="shared" si="4"/>
        <v>8935.6880688</v>
      </c>
      <c r="N57" s="23">
        <f t="shared" si="2"/>
        <v>10320.719719464001</v>
      </c>
      <c r="O57" s="24">
        <f t="shared" si="3"/>
        <v>0.05331787491147371</v>
      </c>
    </row>
    <row r="58" spans="2:15" ht="12">
      <c r="B58" s="4">
        <v>55</v>
      </c>
      <c r="C58" s="5" t="s">
        <v>99</v>
      </c>
      <c r="D58" s="5" t="s">
        <v>98</v>
      </c>
      <c r="E58" s="6">
        <v>2.5</v>
      </c>
      <c r="F58" s="6">
        <v>2</v>
      </c>
      <c r="G58" s="7">
        <f>233.8644*E58*F58</f>
        <v>1169.322</v>
      </c>
      <c r="H58" s="7">
        <f>0*E58*F58</f>
        <v>0</v>
      </c>
      <c r="I58" s="7">
        <f t="shared" si="5"/>
        <v>0</v>
      </c>
      <c r="J58" s="7">
        <f>222.6389088*E58*F58</f>
        <v>1113.194544</v>
      </c>
      <c r="K58" s="7">
        <f>47.932847424*E58*F58</f>
        <v>239.66423712</v>
      </c>
      <c r="L58" s="7">
        <f>46.77288*E58*F58</f>
        <v>233.8644</v>
      </c>
      <c r="M58" s="20">
        <f t="shared" si="4"/>
        <v>2756.04518112</v>
      </c>
      <c r="N58" s="23">
        <f t="shared" si="2"/>
        <v>3183.2321841936</v>
      </c>
      <c r="O58" s="24">
        <f t="shared" si="3"/>
        <v>0.016444897257594168</v>
      </c>
    </row>
    <row r="59" spans="2:15" ht="12">
      <c r="B59" s="4">
        <v>56</v>
      </c>
      <c r="C59" s="5" t="s">
        <v>100</v>
      </c>
      <c r="D59" s="5" t="s">
        <v>101</v>
      </c>
      <c r="E59" s="6">
        <v>60</v>
      </c>
      <c r="F59" s="6">
        <v>1</v>
      </c>
      <c r="G59" s="7">
        <f>33.408231560418*E59*F59</f>
        <v>2004.49389362508</v>
      </c>
      <c r="H59" s="7">
        <f>0*E59*F59</f>
        <v>0</v>
      </c>
      <c r="I59" s="7">
        <f t="shared" si="5"/>
        <v>0</v>
      </c>
      <c r="J59" s="7">
        <f>31.804636445518*E59*F59</f>
        <v>1908.27818673108</v>
      </c>
      <c r="K59" s="7">
        <f>6.8473511406233*E59*F59</f>
        <v>410.841068437398</v>
      </c>
      <c r="L59" s="7">
        <f>6.6816463120836*E59*F59</f>
        <v>400.898778725016</v>
      </c>
      <c r="M59" s="20">
        <f t="shared" si="4"/>
        <v>4724.511927518574</v>
      </c>
      <c r="N59" s="23">
        <f t="shared" si="2"/>
        <v>5456.811276283954</v>
      </c>
      <c r="O59" s="24">
        <f t="shared" si="3"/>
        <v>0.028190435255763063</v>
      </c>
    </row>
    <row r="60" spans="2:15" ht="24">
      <c r="B60" s="4">
        <v>57</v>
      </c>
      <c r="C60" s="5" t="s">
        <v>102</v>
      </c>
      <c r="D60" s="5" t="s">
        <v>103</v>
      </c>
      <c r="E60" s="6">
        <v>5</v>
      </c>
      <c r="F60" s="6">
        <v>1</v>
      </c>
      <c r="G60" s="7">
        <f>17.842704*E60*F60</f>
        <v>89.21352</v>
      </c>
      <c r="H60" s="7">
        <f>0*E60*F60</f>
        <v>0</v>
      </c>
      <c r="I60" s="7">
        <f t="shared" si="5"/>
        <v>0</v>
      </c>
      <c r="J60" s="7">
        <f>16.986254208*E60*F60</f>
        <v>84.93127103999998</v>
      </c>
      <c r="K60" s="7">
        <f>3.65704061184*E60*F60</f>
        <v>18.2852030592</v>
      </c>
      <c r="L60" s="7">
        <f>3.5685408*E60*F60</f>
        <v>17.842704</v>
      </c>
      <c r="M60" s="20">
        <f t="shared" si="4"/>
        <v>210.27269809919997</v>
      </c>
      <c r="N60" s="23">
        <f t="shared" si="2"/>
        <v>242.86496630457597</v>
      </c>
      <c r="O60" s="24">
        <f t="shared" si="3"/>
        <v>0.001254664814643291</v>
      </c>
    </row>
    <row r="61" spans="2:15" ht="12">
      <c r="B61" s="4">
        <v>58</v>
      </c>
      <c r="C61" s="5" t="s">
        <v>104</v>
      </c>
      <c r="D61" s="5" t="s">
        <v>103</v>
      </c>
      <c r="E61" s="6">
        <v>5</v>
      </c>
      <c r="F61" s="6">
        <v>1</v>
      </c>
      <c r="G61" s="7">
        <f>211.13866251311*E61*F61</f>
        <v>1055.69331256555</v>
      </c>
      <c r="H61" s="7">
        <f>4743.96866562*E61*F61</f>
        <v>23719.8433281</v>
      </c>
      <c r="I61" s="7">
        <f t="shared" si="5"/>
        <v>0</v>
      </c>
      <c r="J61" s="7">
        <f>201.00400671248*E61*F61</f>
        <v>1005.0200335623999</v>
      </c>
      <c r="K61" s="7">
        <f>541.39169015879*E61*F61</f>
        <v>2706.95845079395</v>
      </c>
      <c r="L61" s="7">
        <f>42.227732502622*E61*F61</f>
        <v>211.13866251310998</v>
      </c>
      <c r="M61" s="20">
        <f t="shared" si="4"/>
        <v>28698.653787535008</v>
      </c>
      <c r="N61" s="23">
        <f t="shared" si="2"/>
        <v>33146.945124602935</v>
      </c>
      <c r="O61" s="24">
        <f t="shared" si="3"/>
        <v>0.17124044852395695</v>
      </c>
    </row>
    <row r="62" spans="2:15" ht="24">
      <c r="B62" s="4">
        <v>59</v>
      </c>
      <c r="C62" s="5" t="s">
        <v>105</v>
      </c>
      <c r="D62" s="5" t="s">
        <v>106</v>
      </c>
      <c r="E62" s="6">
        <v>5</v>
      </c>
      <c r="F62" s="6">
        <v>1</v>
      </c>
      <c r="G62" s="7">
        <f>108.230958*E62*F62</f>
        <v>541.15479</v>
      </c>
      <c r="H62" s="7">
        <f>10.2828*E62*F62</f>
        <v>51.414</v>
      </c>
      <c r="I62" s="7">
        <f t="shared" si="5"/>
        <v>0</v>
      </c>
      <c r="J62" s="7">
        <f>103.035872016*E62*F62</f>
        <v>515.17936008</v>
      </c>
      <c r="K62" s="7">
        <f>23.26271115168*E62*F62</f>
        <v>116.31355575840001</v>
      </c>
      <c r="L62" s="7">
        <f>21.6461916*E62*F62</f>
        <v>108.23095800000002</v>
      </c>
      <c r="M62" s="20">
        <f t="shared" si="4"/>
        <v>1332.2926638384001</v>
      </c>
      <c r="N62" s="23">
        <f t="shared" si="2"/>
        <v>1538.7980267333521</v>
      </c>
      <c r="O62" s="24">
        <f t="shared" si="3"/>
        <v>0.00794958519691807</v>
      </c>
    </row>
    <row r="63" spans="2:15" ht="24">
      <c r="B63" s="4">
        <v>60</v>
      </c>
      <c r="C63" s="5" t="s">
        <v>107</v>
      </c>
      <c r="D63" s="5" t="s">
        <v>108</v>
      </c>
      <c r="E63" s="6">
        <v>0.3</v>
      </c>
      <c r="F63" s="6">
        <v>2</v>
      </c>
      <c r="G63" s="7">
        <f>6548.2032*E63*F63</f>
        <v>3928.92192</v>
      </c>
      <c r="H63" s="7">
        <f>0*E63*F63</f>
        <v>0</v>
      </c>
      <c r="I63" s="7">
        <f t="shared" si="5"/>
        <v>0</v>
      </c>
      <c r="J63" s="7">
        <f>6233.8894464*E63*F63</f>
        <v>3740.33366784</v>
      </c>
      <c r="K63" s="7">
        <f>1342.119727872*E63*F63</f>
        <v>805.2718367232001</v>
      </c>
      <c r="L63" s="7">
        <f>1309.64064*E63*F63</f>
        <v>785.784384</v>
      </c>
      <c r="M63" s="20">
        <f t="shared" si="4"/>
        <v>9260.3118085632</v>
      </c>
      <c r="N63" s="23">
        <f t="shared" si="2"/>
        <v>10695.660138890496</v>
      </c>
      <c r="O63" s="24">
        <f t="shared" si="3"/>
        <v>0.055254854785516415</v>
      </c>
    </row>
    <row r="64" spans="2:15" ht="24">
      <c r="B64" s="4">
        <v>61</v>
      </c>
      <c r="C64" s="5" t="s">
        <v>109</v>
      </c>
      <c r="D64" s="5" t="s">
        <v>110</v>
      </c>
      <c r="E64" s="6">
        <v>1</v>
      </c>
      <c r="F64" s="6">
        <v>1</v>
      </c>
      <c r="G64" s="7">
        <f>2221.7118*E64*F64</f>
        <v>2221.7118</v>
      </c>
      <c r="H64" s="7">
        <f>0*E64*F64</f>
        <v>0</v>
      </c>
      <c r="I64" s="7">
        <f t="shared" si="5"/>
        <v>0</v>
      </c>
      <c r="J64" s="7">
        <f>2115.0696336*E64*F64</f>
        <v>2115.0696336</v>
      </c>
      <c r="K64" s="7">
        <f>455.362050528*E64*F64</f>
        <v>455.362050528</v>
      </c>
      <c r="L64" s="7">
        <f>444.34236*E64*F64</f>
        <v>444.34236</v>
      </c>
      <c r="M64" s="20">
        <f t="shared" si="4"/>
        <v>5236.485844127999</v>
      </c>
      <c r="N64" s="23">
        <f t="shared" si="2"/>
        <v>6048.14114996784</v>
      </c>
      <c r="O64" s="24">
        <f t="shared" si="3"/>
        <v>0.031245304789428916</v>
      </c>
    </row>
    <row r="65" spans="2:15" ht="12">
      <c r="B65" s="4">
        <v>62</v>
      </c>
      <c r="C65" s="5" t="s">
        <v>111</v>
      </c>
      <c r="D65" s="5" t="s">
        <v>112</v>
      </c>
      <c r="E65" s="6">
        <v>0.2</v>
      </c>
      <c r="F65" s="6">
        <v>2</v>
      </c>
      <c r="G65" s="7">
        <f>5846.61*E65*F65</f>
        <v>2338.644</v>
      </c>
      <c r="H65" s="7">
        <f>9515.8988376*E65*F65</f>
        <v>3806.35953504</v>
      </c>
      <c r="I65" s="7">
        <f t="shared" si="5"/>
        <v>0</v>
      </c>
      <c r="J65" s="7">
        <f>5565.97272*E65*F65</f>
        <v>2226.389088</v>
      </c>
      <c r="K65" s="7">
        <f>2197.490563548*E65*F65</f>
        <v>878.9962254192001</v>
      </c>
      <c r="L65" s="7">
        <f>1169.322*E65*F65</f>
        <v>467.7288</v>
      </c>
      <c r="M65" s="20">
        <f t="shared" si="4"/>
        <v>9718.1176484592</v>
      </c>
      <c r="N65" s="23">
        <f t="shared" si="2"/>
        <v>11224.425883970376</v>
      </c>
      <c r="O65" s="24">
        <f t="shared" si="3"/>
        <v>0.05798651174549297</v>
      </c>
    </row>
    <row r="66" spans="2:15" ht="24">
      <c r="B66" s="4">
        <v>63</v>
      </c>
      <c r="C66" s="5" t="s">
        <v>113</v>
      </c>
      <c r="D66" s="5" t="s">
        <v>103</v>
      </c>
      <c r="E66" s="6">
        <v>0.5</v>
      </c>
      <c r="F66" s="6">
        <v>2</v>
      </c>
      <c r="G66" s="7">
        <f>3693.6702*E66*F66</f>
        <v>3693.6702</v>
      </c>
      <c r="H66" s="7">
        <f>3078.1083822*E66*F66</f>
        <v>3078.1083822</v>
      </c>
      <c r="I66" s="7">
        <f t="shared" si="5"/>
        <v>0</v>
      </c>
      <c r="J66" s="7">
        <f>3516.3740304*E66*F66</f>
        <v>3516.3740304</v>
      </c>
      <c r="K66" s="7">
        <f>1080.256024323*E66*F66</f>
        <v>1080.256024323</v>
      </c>
      <c r="L66" s="7">
        <f>738.73404*E66*F66</f>
        <v>738.73404</v>
      </c>
      <c r="M66" s="20">
        <f t="shared" si="4"/>
        <v>12107.142676923</v>
      </c>
      <c r="N66" s="23">
        <f t="shared" si="2"/>
        <v>13983.749791846065</v>
      </c>
      <c r="O66" s="24">
        <f t="shared" si="3"/>
        <v>0.0722414562609318</v>
      </c>
    </row>
    <row r="67" spans="2:15" ht="24">
      <c r="B67" s="4">
        <v>64</v>
      </c>
      <c r="C67" s="5" t="s">
        <v>114</v>
      </c>
      <c r="D67" s="5" t="s">
        <v>115</v>
      </c>
      <c r="E67" s="6">
        <v>14</v>
      </c>
      <c r="F67" s="6">
        <v>12</v>
      </c>
      <c r="G67" s="7">
        <f>13.18746*E67*F67</f>
        <v>2215.4932799999997</v>
      </c>
      <c r="H67" s="7">
        <f aca="true" t="shared" si="7" ref="H67:H72">0*E67*F67</f>
        <v>0</v>
      </c>
      <c r="I67" s="7">
        <f t="shared" si="5"/>
        <v>0</v>
      </c>
      <c r="J67" s="7">
        <f>12.55446192*E67*F67</f>
        <v>2109.14960256</v>
      </c>
      <c r="K67" s="7">
        <f>2.7029018016*E67*F67</f>
        <v>454.08750266879997</v>
      </c>
      <c r="L67" s="7">
        <f>2.637492*E67*F67</f>
        <v>443.09865599999995</v>
      </c>
      <c r="M67" s="20">
        <f t="shared" si="4"/>
        <v>5221.8290412288</v>
      </c>
      <c r="N67" s="23">
        <f t="shared" si="2"/>
        <v>6031.212542619264</v>
      </c>
      <c r="O67" s="24">
        <f t="shared" si="3"/>
        <v>0.031157849903183477</v>
      </c>
    </row>
    <row r="68" spans="2:15" ht="12">
      <c r="B68" s="4">
        <v>65</v>
      </c>
      <c r="C68" s="5" t="s">
        <v>116</v>
      </c>
      <c r="D68" s="5" t="s">
        <v>115</v>
      </c>
      <c r="E68" s="6">
        <v>14</v>
      </c>
      <c r="F68" s="6">
        <v>12</v>
      </c>
      <c r="G68" s="7">
        <f>11.69322*E68*F68</f>
        <v>1964.4609600000001</v>
      </c>
      <c r="H68" s="7">
        <f t="shared" si="7"/>
        <v>0</v>
      </c>
      <c r="I68" s="7">
        <f t="shared" si="5"/>
        <v>0</v>
      </c>
      <c r="J68" s="7">
        <f>11.13194544*E68*F68</f>
        <v>1870.1668339200003</v>
      </c>
      <c r="K68" s="7">
        <f>2.3966423712*E68*F68</f>
        <v>402.63591836160003</v>
      </c>
      <c r="L68" s="7">
        <f>2.338644*E68*F68</f>
        <v>392.892192</v>
      </c>
      <c r="M68" s="20">
        <f aca="true" t="shared" si="8" ref="M68:M99">SUM(G68:L68)</f>
        <v>4630.155904281601</v>
      </c>
      <c r="N68" s="23">
        <f t="shared" si="2"/>
        <v>5347.830069445249</v>
      </c>
      <c r="O68" s="24">
        <f t="shared" si="3"/>
        <v>0.02762742739275821</v>
      </c>
    </row>
    <row r="69" spans="2:15" ht="12">
      <c r="B69" s="4">
        <v>66</v>
      </c>
      <c r="C69" s="5" t="s">
        <v>117</v>
      </c>
      <c r="D69" s="5" t="s">
        <v>115</v>
      </c>
      <c r="E69" s="6">
        <v>5</v>
      </c>
      <c r="F69" s="6">
        <v>1</v>
      </c>
      <c r="G69" s="7">
        <f>13.18746*E69*F69</f>
        <v>65.9373</v>
      </c>
      <c r="H69" s="7">
        <f t="shared" si="7"/>
        <v>0</v>
      </c>
      <c r="I69" s="7">
        <f aca="true" t="shared" si="9" ref="I69:I89">0*E69*F69</f>
        <v>0</v>
      </c>
      <c r="J69" s="7">
        <f>12.55446192*E69*F69</f>
        <v>62.7723096</v>
      </c>
      <c r="K69" s="7">
        <f>2.7029018016*E69*F69</f>
        <v>13.514509008</v>
      </c>
      <c r="L69" s="7">
        <f>2.637492*E69*F69</f>
        <v>13.18746</v>
      </c>
      <c r="M69" s="20">
        <f t="shared" si="8"/>
        <v>155.41157860799999</v>
      </c>
      <c r="N69" s="23">
        <f aca="true" t="shared" si="10" ref="N69:N101">M69*1.155</f>
        <v>179.50037329224</v>
      </c>
      <c r="O69" s="24">
        <f aca="true" t="shared" si="11" ref="O69:O101">N69/16130.8/12</f>
        <v>0.0009273169614042701</v>
      </c>
    </row>
    <row r="70" spans="2:15" ht="24">
      <c r="B70" s="4">
        <v>67</v>
      </c>
      <c r="C70" s="5" t="s">
        <v>118</v>
      </c>
      <c r="D70" s="5" t="s">
        <v>119</v>
      </c>
      <c r="E70" s="6">
        <v>3</v>
      </c>
      <c r="F70" s="6">
        <v>12</v>
      </c>
      <c r="G70" s="7">
        <f>242.63712*E70*F70</f>
        <v>8734.93632</v>
      </c>
      <c r="H70" s="7">
        <f t="shared" si="7"/>
        <v>0</v>
      </c>
      <c r="I70" s="7">
        <f t="shared" si="9"/>
        <v>0</v>
      </c>
      <c r="J70" s="7">
        <f>230.99053824*E70*F70</f>
        <v>8315.65937664</v>
      </c>
      <c r="K70" s="7">
        <f>49.7309041152*E70*F70</f>
        <v>1790.3125481472</v>
      </c>
      <c r="L70" s="7">
        <f>48.527424*E70*F70</f>
        <v>1746.9872640000003</v>
      </c>
      <c r="M70" s="20">
        <f t="shared" si="8"/>
        <v>20587.895508787202</v>
      </c>
      <c r="N70" s="23">
        <f t="shared" si="10"/>
        <v>23779.01931264922</v>
      </c>
      <c r="O70" s="24">
        <f t="shared" si="11"/>
        <v>0.12284480265831628</v>
      </c>
    </row>
    <row r="71" spans="2:15" ht="12">
      <c r="B71" s="4">
        <v>68</v>
      </c>
      <c r="C71" s="5" t="s">
        <v>120</v>
      </c>
      <c r="D71" s="5" t="s">
        <v>119</v>
      </c>
      <c r="E71" s="6">
        <v>1</v>
      </c>
      <c r="F71" s="6">
        <v>1</v>
      </c>
      <c r="G71" s="7">
        <f>131.8746*E71*F71</f>
        <v>131.8746</v>
      </c>
      <c r="H71" s="7">
        <f t="shared" si="7"/>
        <v>0</v>
      </c>
      <c r="I71" s="7">
        <f t="shared" si="9"/>
        <v>0</v>
      </c>
      <c r="J71" s="7">
        <f>125.5446192*E71*F71</f>
        <v>125.5446192</v>
      </c>
      <c r="K71" s="7">
        <f>27.029018016*E71*F71</f>
        <v>27.029018016</v>
      </c>
      <c r="L71" s="7">
        <f>26.37492*E71*F71</f>
        <v>26.37492</v>
      </c>
      <c r="M71" s="20">
        <f t="shared" si="8"/>
        <v>310.82315721599997</v>
      </c>
      <c r="N71" s="23">
        <f t="shared" si="10"/>
        <v>359.00074658448</v>
      </c>
      <c r="O71" s="24">
        <f t="shared" si="11"/>
        <v>0.0018546339228085401</v>
      </c>
    </row>
    <row r="72" spans="2:15" ht="60">
      <c r="B72" s="4">
        <v>69</v>
      </c>
      <c r="C72" s="5" t="s">
        <v>121</v>
      </c>
      <c r="D72" s="5" t="s">
        <v>122</v>
      </c>
      <c r="E72" s="6">
        <v>15.4</v>
      </c>
      <c r="F72" s="6">
        <v>1</v>
      </c>
      <c r="G72" s="7">
        <f>1319.080224*E72*F72</f>
        <v>20313.835449600003</v>
      </c>
      <c r="H72" s="7">
        <f t="shared" si="7"/>
        <v>0</v>
      </c>
      <c r="I72" s="7">
        <f t="shared" si="9"/>
        <v>0</v>
      </c>
      <c r="J72" s="7">
        <f>1255.764373248*E72*F72</f>
        <v>19338.771348019203</v>
      </c>
      <c r="K72" s="7">
        <f>270.35868271104*E72*F72</f>
        <v>4163.523713750016</v>
      </c>
      <c r="L72" s="7">
        <f>263.8160448*E72*F72</f>
        <v>4062.7670899199998</v>
      </c>
      <c r="M72" s="20">
        <f t="shared" si="8"/>
        <v>47878.89760128922</v>
      </c>
      <c r="N72" s="23">
        <f t="shared" si="10"/>
        <v>55300.12672948906</v>
      </c>
      <c r="O72" s="24">
        <f t="shared" si="11"/>
        <v>0.28568601024897017</v>
      </c>
    </row>
    <row r="73" spans="2:15" ht="36">
      <c r="B73" s="4">
        <v>70</v>
      </c>
      <c r="C73" s="5" t="s">
        <v>123</v>
      </c>
      <c r="D73" s="5" t="s">
        <v>124</v>
      </c>
      <c r="E73" s="6">
        <v>7</v>
      </c>
      <c r="F73" s="6">
        <v>52</v>
      </c>
      <c r="G73" s="7">
        <f>126.52980964358*E73*F73</f>
        <v>46056.85071026312</v>
      </c>
      <c r="H73" s="7">
        <f>2.567476946868*E73*F73</f>
        <v>934.5616086599521</v>
      </c>
      <c r="I73" s="7">
        <f t="shared" si="9"/>
        <v>0</v>
      </c>
      <c r="J73" s="7">
        <f>120.45637878069*E73*F73</f>
        <v>43846.121876171164</v>
      </c>
      <c r="K73" s="7">
        <f>26.203134863969*E73*F73</f>
        <v>9537.941090484715</v>
      </c>
      <c r="L73" s="7">
        <f>25.305961928716*E73*F73</f>
        <v>9211.370142052623</v>
      </c>
      <c r="M73" s="20">
        <f t="shared" si="8"/>
        <v>109586.84542763158</v>
      </c>
      <c r="N73" s="23">
        <f t="shared" si="10"/>
        <v>126572.80646891447</v>
      </c>
      <c r="O73" s="24">
        <f t="shared" si="11"/>
        <v>0.6538878339827869</v>
      </c>
    </row>
    <row r="74" spans="2:15" ht="36">
      <c r="B74" s="4">
        <v>71</v>
      </c>
      <c r="C74" s="5" t="s">
        <v>125</v>
      </c>
      <c r="D74" s="5" t="s">
        <v>124</v>
      </c>
      <c r="E74" s="6">
        <v>16</v>
      </c>
      <c r="F74" s="6">
        <v>52</v>
      </c>
      <c r="G74" s="7">
        <f>110.49081964358*E74*F74</f>
        <v>91928.36194345856</v>
      </c>
      <c r="H74" s="7">
        <f>2.502713495001*E74*F74</f>
        <v>2082.2576278408324</v>
      </c>
      <c r="I74" s="7">
        <f t="shared" si="9"/>
        <v>0</v>
      </c>
      <c r="J74" s="7">
        <f>105.18726030069*E74*F74</f>
        <v>87515.80057017408</v>
      </c>
      <c r="K74" s="7">
        <f>22.908983311123*E74*F74</f>
        <v>19060.274114854335</v>
      </c>
      <c r="L74" s="7">
        <f>22.098163928716*E74*F74</f>
        <v>18385.672388691713</v>
      </c>
      <c r="M74" s="20">
        <f t="shared" si="8"/>
        <v>218972.36664501953</v>
      </c>
      <c r="N74" s="23">
        <f t="shared" si="10"/>
        <v>252913.08347499758</v>
      </c>
      <c r="O74" s="24">
        <f t="shared" si="11"/>
        <v>1.306574397400199</v>
      </c>
    </row>
    <row r="75" spans="2:15" ht="24">
      <c r="B75" s="4">
        <v>72</v>
      </c>
      <c r="C75" s="5" t="s">
        <v>126</v>
      </c>
      <c r="D75" s="5" t="s">
        <v>124</v>
      </c>
      <c r="E75" s="6">
        <v>7</v>
      </c>
      <c r="F75" s="6">
        <v>12</v>
      </c>
      <c r="G75" s="7">
        <f>162.17201035642*E75*F75</f>
        <v>13622.448869939279</v>
      </c>
      <c r="H75" s="7">
        <f>55.722424884447*E75*F75</f>
        <v>4680.683690293548</v>
      </c>
      <c r="I75" s="7">
        <f t="shared" si="9"/>
        <v>0</v>
      </c>
      <c r="J75" s="7">
        <f>154.38775385931*E75*F75</f>
        <v>12968.57132418204</v>
      </c>
      <c r="K75" s="7">
        <f>39.089629855519*E75*F75</f>
        <v>3283.528907863596</v>
      </c>
      <c r="L75" s="7">
        <f>32.434402071284*E75*F75</f>
        <v>2724.4897739878556</v>
      </c>
      <c r="M75" s="20">
        <f t="shared" si="8"/>
        <v>37279.722566266326</v>
      </c>
      <c r="N75" s="23">
        <f t="shared" si="10"/>
        <v>43058.07956403761</v>
      </c>
      <c r="O75" s="24">
        <f t="shared" si="11"/>
        <v>0.22244236473101983</v>
      </c>
    </row>
    <row r="76" spans="2:15" ht="24">
      <c r="B76" s="4">
        <v>73</v>
      </c>
      <c r="C76" s="5" t="s">
        <v>127</v>
      </c>
      <c r="D76" s="5" t="s">
        <v>124</v>
      </c>
      <c r="E76" s="6">
        <v>16</v>
      </c>
      <c r="F76" s="6">
        <v>12</v>
      </c>
      <c r="G76" s="7">
        <f>139.00458*E76*F76</f>
        <v>26688.87936</v>
      </c>
      <c r="H76" s="7">
        <f>53.956916383251*E76*F76</f>
        <v>10359.727945584193</v>
      </c>
      <c r="I76" s="7">
        <f t="shared" si="9"/>
        <v>0</v>
      </c>
      <c r="J76" s="7">
        <f>132.33236016*E76*F76</f>
        <v>25407.81315072</v>
      </c>
      <c r="K76" s="7">
        <f>34.155854937041*E76*F76</f>
        <v>6557.924147911872</v>
      </c>
      <c r="L76" s="7">
        <f>27.800916*E76*F76</f>
        <v>5337.775872</v>
      </c>
      <c r="M76" s="20">
        <f t="shared" si="8"/>
        <v>74352.12047621606</v>
      </c>
      <c r="N76" s="23">
        <f t="shared" si="10"/>
        <v>85876.69915002956</v>
      </c>
      <c r="O76" s="24">
        <f t="shared" si="11"/>
        <v>0.443647655158814</v>
      </c>
    </row>
    <row r="77" spans="2:15" ht="12">
      <c r="B77" s="4">
        <v>74</v>
      </c>
      <c r="C77" s="5" t="s">
        <v>128</v>
      </c>
      <c r="D77" s="5" t="s">
        <v>129</v>
      </c>
      <c r="E77" s="6">
        <v>0.14</v>
      </c>
      <c r="F77" s="6">
        <v>365</v>
      </c>
      <c r="G77" s="7">
        <f>188.90366035642*E77*F77</f>
        <v>9652.977044213063</v>
      </c>
      <c r="H77" s="7">
        <f>69.932794916718*E77*F77</f>
        <v>3573.56582024429</v>
      </c>
      <c r="I77" s="7">
        <f t="shared" si="9"/>
        <v>0</v>
      </c>
      <c r="J77" s="7">
        <f>179.83628465931*E77*F77</f>
        <v>9189.63414609074</v>
      </c>
      <c r="K77" s="7">
        <f>46.060637692908*E77*F77</f>
        <v>2353.698586107599</v>
      </c>
      <c r="L77" s="7">
        <f>37.780732071284*E77*F77</f>
        <v>1930.5954088426124</v>
      </c>
      <c r="M77" s="20">
        <f t="shared" si="8"/>
        <v>26700.471005498304</v>
      </c>
      <c r="N77" s="23">
        <f t="shared" si="10"/>
        <v>30839.044011350543</v>
      </c>
      <c r="O77" s="24">
        <f t="shared" si="11"/>
        <v>0.15931759951640415</v>
      </c>
    </row>
    <row r="78" spans="2:15" ht="24">
      <c r="B78" s="4">
        <v>75</v>
      </c>
      <c r="C78" s="5" t="s">
        <v>130</v>
      </c>
      <c r="D78" s="5" t="s">
        <v>17</v>
      </c>
      <c r="E78" s="6">
        <v>0.8</v>
      </c>
      <c r="F78" s="6">
        <v>1</v>
      </c>
      <c r="G78" s="7">
        <f>96.23394*E78*F78</f>
        <v>76.98715200000001</v>
      </c>
      <c r="H78" s="7">
        <f>2.022097694565*E78*F78</f>
        <v>1.6176781556520003</v>
      </c>
      <c r="I78" s="7">
        <f t="shared" si="9"/>
        <v>0</v>
      </c>
      <c r="J78" s="7">
        <f>91.61471088*E78*F78</f>
        <v>73.291768704</v>
      </c>
      <c r="K78" s="7">
        <f>19.936428600329*E78*F78</f>
        <v>15.9491428802632</v>
      </c>
      <c r="L78" s="7">
        <f>19.246788*E78*F78</f>
        <v>15.3974304</v>
      </c>
      <c r="M78" s="20">
        <f t="shared" si="8"/>
        <v>183.2431721399152</v>
      </c>
      <c r="N78" s="23">
        <f t="shared" si="10"/>
        <v>211.64586382160206</v>
      </c>
      <c r="O78" s="24">
        <f t="shared" si="11"/>
        <v>0.0010933837948810252</v>
      </c>
    </row>
    <row r="79" spans="2:15" ht="24">
      <c r="B79" s="4">
        <v>76</v>
      </c>
      <c r="C79" s="5" t="s">
        <v>131</v>
      </c>
      <c r="D79" s="5" t="s">
        <v>132</v>
      </c>
      <c r="E79" s="6">
        <v>0.8</v>
      </c>
      <c r="F79" s="6">
        <v>6</v>
      </c>
      <c r="G79" s="7">
        <f>242.36696035642*E79*F79</f>
        <v>1163.3614097108161</v>
      </c>
      <c r="H79" s="7">
        <f>24.44921240211*E79*F79</f>
        <v>117.35621953012802</v>
      </c>
      <c r="I79" s="7">
        <f t="shared" si="9"/>
        <v>0</v>
      </c>
      <c r="J79" s="7">
        <f>230.73334625931*E79*F79</f>
        <v>1107.520062044688</v>
      </c>
      <c r="K79" s="7">
        <f>52.242699496874*E79*F79</f>
        <v>250.76495758499522</v>
      </c>
      <c r="L79" s="7">
        <f>48.473392071284*E79*F79</f>
        <v>232.67228194216324</v>
      </c>
      <c r="M79" s="20">
        <f t="shared" si="8"/>
        <v>2871.674930812791</v>
      </c>
      <c r="N79" s="23">
        <f t="shared" si="10"/>
        <v>3316.7845450887735</v>
      </c>
      <c r="O79" s="24">
        <f t="shared" si="11"/>
        <v>0.017134842170923398</v>
      </c>
    </row>
    <row r="80" spans="2:15" ht="24">
      <c r="B80" s="4">
        <v>77</v>
      </c>
      <c r="C80" s="5" t="s">
        <v>133</v>
      </c>
      <c r="D80" s="5" t="s">
        <v>134</v>
      </c>
      <c r="E80" s="6">
        <v>0.3</v>
      </c>
      <c r="F80" s="6">
        <v>2</v>
      </c>
      <c r="G80" s="7">
        <f>244.14906964358*E80*F80</f>
        <v>146.48944178614798</v>
      </c>
      <c r="H80" s="7">
        <f>19.079550118704*E80*F80</f>
        <v>11.447730071222399</v>
      </c>
      <c r="I80" s="7">
        <f t="shared" si="9"/>
        <v>0</v>
      </c>
      <c r="J80" s="7">
        <f>232.42991430069*E80*F80</f>
        <v>139.45794858041398</v>
      </c>
      <c r="K80" s="7">
        <f>52.044146076612*E80*F80</f>
        <v>31.2264876459672</v>
      </c>
      <c r="L80" s="7">
        <f>48.829813928716*E80*F80</f>
        <v>29.2978883572296</v>
      </c>
      <c r="M80" s="20">
        <f t="shared" si="8"/>
        <v>357.9194964409812</v>
      </c>
      <c r="N80" s="23">
        <f t="shared" si="10"/>
        <v>413.3970183893333</v>
      </c>
      <c r="O80" s="24">
        <f t="shared" si="11"/>
        <v>0.002135650527713718</v>
      </c>
    </row>
    <row r="81" spans="2:15" ht="24">
      <c r="B81" s="4">
        <v>78</v>
      </c>
      <c r="C81" s="5" t="s">
        <v>135</v>
      </c>
      <c r="D81" s="5" t="s">
        <v>136</v>
      </c>
      <c r="E81" s="6">
        <v>0.8</v>
      </c>
      <c r="F81" s="6">
        <v>2</v>
      </c>
      <c r="G81" s="7">
        <f>233.45640964358*E81*F81</f>
        <v>373.530255429728</v>
      </c>
      <c r="H81" s="7">
        <f>18.198793413567*E81*F81</f>
        <v>29.1180694617072</v>
      </c>
      <c r="I81" s="7">
        <f t="shared" si="9"/>
        <v>0</v>
      </c>
      <c r="J81" s="7">
        <f>222.25050198069*E81*F81</f>
        <v>355.600803169104</v>
      </c>
      <c r="K81" s="7">
        <f>49.760099028972*E81*F81</f>
        <v>79.6161584463552</v>
      </c>
      <c r="L81" s="7">
        <f>46.691281928716*E81*F81</f>
        <v>74.7060510859456</v>
      </c>
      <c r="M81" s="20">
        <f t="shared" si="8"/>
        <v>912.5713375928399</v>
      </c>
      <c r="N81" s="23">
        <f t="shared" si="10"/>
        <v>1054.0198949197302</v>
      </c>
      <c r="O81" s="24">
        <f t="shared" si="11"/>
        <v>0.005445172666161062</v>
      </c>
    </row>
    <row r="82" spans="2:15" ht="24">
      <c r="B82" s="4">
        <v>79</v>
      </c>
      <c r="C82" s="5" t="s">
        <v>137</v>
      </c>
      <c r="D82" s="5" t="s">
        <v>138</v>
      </c>
      <c r="E82" s="6">
        <v>1</v>
      </c>
      <c r="F82" s="6">
        <v>2</v>
      </c>
      <c r="G82" s="7">
        <f>358.20411*E82*F82</f>
        <v>716.40822</v>
      </c>
      <c r="H82" s="7">
        <f>32.167306014744*E82*F82</f>
        <v>64.334612029488</v>
      </c>
      <c r="I82" s="7">
        <f t="shared" si="9"/>
        <v>0</v>
      </c>
      <c r="J82" s="7">
        <f>341.01031272*E82*F82</f>
        <v>682.02062544</v>
      </c>
      <c r="K82" s="7">
        <f>76.795081517148*E82*F82</f>
        <v>153.590163034296</v>
      </c>
      <c r="L82" s="7">
        <f>71.640822*E82*F82</f>
        <v>143.281644</v>
      </c>
      <c r="M82" s="20">
        <f t="shared" si="8"/>
        <v>1759.635264503784</v>
      </c>
      <c r="N82" s="23">
        <f t="shared" si="10"/>
        <v>2032.3787305018705</v>
      </c>
      <c r="O82" s="24">
        <f t="shared" si="11"/>
        <v>0.010499472698718551</v>
      </c>
    </row>
    <row r="83" spans="2:15" ht="12">
      <c r="B83" s="4">
        <v>80</v>
      </c>
      <c r="C83" s="5" t="s">
        <v>139</v>
      </c>
      <c r="D83" s="5" t="s">
        <v>140</v>
      </c>
      <c r="E83" s="6">
        <v>1</v>
      </c>
      <c r="F83" s="6">
        <v>1</v>
      </c>
      <c r="G83" s="7">
        <f>70.966368*E83*F83</f>
        <v>70.966368</v>
      </c>
      <c r="H83" s="7">
        <f>121.893*E83*F83</f>
        <v>121.893</v>
      </c>
      <c r="I83" s="7">
        <f t="shared" si="9"/>
        <v>0</v>
      </c>
      <c r="J83" s="7">
        <f>67.559982336*E83*F83</f>
        <v>67.559982336</v>
      </c>
      <c r="K83" s="7">
        <f>27.34403178528*E83*F83</f>
        <v>27.34403178528</v>
      </c>
      <c r="L83" s="7">
        <f>14.1932736*E83*F83</f>
        <v>14.1932736</v>
      </c>
      <c r="M83" s="20">
        <f t="shared" si="8"/>
        <v>301.95665572128</v>
      </c>
      <c r="N83" s="23">
        <f t="shared" si="10"/>
        <v>348.75993735807845</v>
      </c>
      <c r="O83" s="24">
        <f t="shared" si="11"/>
        <v>0.0018017288735321995</v>
      </c>
    </row>
    <row r="84" spans="2:15" ht="24">
      <c r="B84" s="4">
        <v>81</v>
      </c>
      <c r="C84" s="5" t="s">
        <v>141</v>
      </c>
      <c r="D84" s="5" t="s">
        <v>142</v>
      </c>
      <c r="E84" s="6">
        <v>0.1</v>
      </c>
      <c r="F84" s="6">
        <v>1</v>
      </c>
      <c r="G84" s="7">
        <f>114.411462*E84*F84</f>
        <v>11.4411462</v>
      </c>
      <c r="H84" s="7">
        <f>40.942395*E84*F84</f>
        <v>4.0942395</v>
      </c>
      <c r="I84" s="7">
        <f t="shared" si="9"/>
        <v>0</v>
      </c>
      <c r="J84" s="7">
        <f>108.919711824*E84*F84</f>
        <v>10.8919711824</v>
      </c>
      <c r="K84" s="7">
        <f>27.74872472652*E84*F84</f>
        <v>2.774872472652</v>
      </c>
      <c r="L84" s="7">
        <f>22.8822924*E84*F84</f>
        <v>2.28822924</v>
      </c>
      <c r="M84" s="20">
        <f t="shared" si="8"/>
        <v>31.490458595051997</v>
      </c>
      <c r="N84" s="23">
        <f t="shared" si="10"/>
        <v>36.37147967728506</v>
      </c>
      <c r="O84" s="24">
        <f t="shared" si="11"/>
        <v>0.0001878987179664837</v>
      </c>
    </row>
    <row r="85" spans="2:15" ht="60">
      <c r="B85" s="4">
        <v>82</v>
      </c>
      <c r="C85" s="5" t="s">
        <v>143</v>
      </c>
      <c r="D85" s="5" t="s">
        <v>144</v>
      </c>
      <c r="E85" s="6">
        <v>0.2</v>
      </c>
      <c r="F85" s="6">
        <v>1</v>
      </c>
      <c r="G85" s="7">
        <f>144.35091*E85*F85</f>
        <v>28.870182</v>
      </c>
      <c r="H85" s="7">
        <f>40.942395*E85*F85</f>
        <v>8.188479</v>
      </c>
      <c r="I85" s="7">
        <f t="shared" si="9"/>
        <v>0</v>
      </c>
      <c r="J85" s="7">
        <f>137.42206632*E85*F85</f>
        <v>27.484413264</v>
      </c>
      <c r="K85" s="7">
        <f>33.8851139886*E85*F85</f>
        <v>6.77702279772</v>
      </c>
      <c r="L85" s="7">
        <f>28.870182*E85*F85</f>
        <v>5.7740364</v>
      </c>
      <c r="M85" s="20">
        <f t="shared" si="8"/>
        <v>77.09413346171999</v>
      </c>
      <c r="N85" s="23">
        <f t="shared" si="10"/>
        <v>89.04372414828659</v>
      </c>
      <c r="O85" s="24">
        <f t="shared" si="11"/>
        <v>0.00046000882446565263</v>
      </c>
    </row>
    <row r="86" spans="2:15" ht="24">
      <c r="B86" s="4">
        <v>83</v>
      </c>
      <c r="C86" s="5" t="s">
        <v>145</v>
      </c>
      <c r="D86" s="5" t="s">
        <v>146</v>
      </c>
      <c r="E86" s="6">
        <v>0.4</v>
      </c>
      <c r="F86" s="6">
        <v>52</v>
      </c>
      <c r="G86" s="7">
        <f>194.606412*E86*F86</f>
        <v>4047.8133696000004</v>
      </c>
      <c r="H86" s="7">
        <f>40.942395*E86*F86</f>
        <v>851.6018159999999</v>
      </c>
      <c r="I86" s="7">
        <f t="shared" si="9"/>
        <v>0</v>
      </c>
      <c r="J86" s="7">
        <f>185.265304224*E86*F86</f>
        <v>3853.5183278592003</v>
      </c>
      <c r="K86" s="7">
        <f>44.18548167852*E86*F86</f>
        <v>919.0580189132161</v>
      </c>
      <c r="L86" s="7">
        <f>38.9212824*E86*F86</f>
        <v>809.5626739200001</v>
      </c>
      <c r="M86" s="20">
        <f t="shared" si="8"/>
        <v>10481.554206292416</v>
      </c>
      <c r="N86" s="23">
        <f t="shared" si="10"/>
        <v>12106.19510826774</v>
      </c>
      <c r="O86" s="24">
        <f t="shared" si="11"/>
        <v>0.06254182014256236</v>
      </c>
    </row>
    <row r="87" spans="2:15" ht="24">
      <c r="B87" s="4">
        <v>84</v>
      </c>
      <c r="C87" s="5" t="s">
        <v>147</v>
      </c>
      <c r="D87" s="5" t="s">
        <v>148</v>
      </c>
      <c r="E87" s="6">
        <v>1.8</v>
      </c>
      <c r="F87" s="6">
        <v>128</v>
      </c>
      <c r="G87" s="7">
        <f>131.090652*E87*F87</f>
        <v>30203.2862208</v>
      </c>
      <c r="H87" s="7">
        <f>3.310668*E87*F87</f>
        <v>762.7779072000001</v>
      </c>
      <c r="I87" s="7">
        <f t="shared" si="9"/>
        <v>0</v>
      </c>
      <c r="J87" s="7">
        <f>124.798300704*E87*F87</f>
        <v>28753.5284822016</v>
      </c>
      <c r="K87" s="7">
        <f>27.21596017392*E87*F87</f>
        <v>6270.557224071168</v>
      </c>
      <c r="L87" s="7">
        <f>26.2181304*E87*F87</f>
        <v>6040.65724416</v>
      </c>
      <c r="M87" s="20">
        <f t="shared" si="8"/>
        <v>72030.80707843277</v>
      </c>
      <c r="N87" s="23">
        <f t="shared" si="10"/>
        <v>83195.58217558985</v>
      </c>
      <c r="O87" s="24">
        <f t="shared" si="11"/>
        <v>0.42979673551833475</v>
      </c>
    </row>
    <row r="88" spans="2:15" ht="24">
      <c r="B88" s="4">
        <v>85</v>
      </c>
      <c r="C88" s="5" t="s">
        <v>149</v>
      </c>
      <c r="D88" s="5" t="s">
        <v>150</v>
      </c>
      <c r="E88" s="6">
        <v>0.001</v>
      </c>
      <c r="F88" s="6">
        <v>10</v>
      </c>
      <c r="G88" s="7">
        <f>114992.128548*E88*F88</f>
        <v>1149.92128548</v>
      </c>
      <c r="H88" s="7">
        <f>781.43868*E88*F88</f>
        <v>7.814386799999999</v>
      </c>
      <c r="I88" s="7">
        <f t="shared" si="9"/>
        <v>0</v>
      </c>
      <c r="J88" s="7">
        <f>109472.5063777*E88*F88</f>
        <v>1094.725063777</v>
      </c>
      <c r="K88" s="7">
        <f>23650.837728598*E88*F88</f>
        <v>236.50837728597998</v>
      </c>
      <c r="L88" s="7">
        <f>22998.4257096*E88*F88</f>
        <v>229.984257096</v>
      </c>
      <c r="M88" s="20">
        <f t="shared" si="8"/>
        <v>2718.9533704389796</v>
      </c>
      <c r="N88" s="23">
        <f t="shared" si="10"/>
        <v>3140.3911428570214</v>
      </c>
      <c r="O88" s="24">
        <f t="shared" si="11"/>
        <v>0.01622357613415031</v>
      </c>
    </row>
    <row r="89" spans="2:15" ht="12">
      <c r="B89" s="4">
        <v>86</v>
      </c>
      <c r="C89" s="5" t="s">
        <v>151</v>
      </c>
      <c r="D89" s="5" t="s">
        <v>152</v>
      </c>
      <c r="E89" s="6">
        <v>0.001</v>
      </c>
      <c r="F89" s="6">
        <v>10</v>
      </c>
      <c r="G89" s="7">
        <f>9856.44*E89*F89</f>
        <v>98.5644</v>
      </c>
      <c r="H89" s="7">
        <f>47327.94*E89*F89</f>
        <v>473.27940000000007</v>
      </c>
      <c r="I89" s="7">
        <f t="shared" si="9"/>
        <v>0</v>
      </c>
      <c r="J89" s="7">
        <f>9383.33088*E89*F89</f>
        <v>93.8333088</v>
      </c>
      <c r="K89" s="7">
        <f>6989.6096424*E89*F89</f>
        <v>69.89609642399999</v>
      </c>
      <c r="L89" s="7">
        <f>1971.288*E89*F89</f>
        <v>19.712880000000002</v>
      </c>
      <c r="M89" s="20">
        <f t="shared" si="8"/>
        <v>755.2860852240001</v>
      </c>
      <c r="N89" s="23">
        <f t="shared" si="10"/>
        <v>872.3554284337201</v>
      </c>
      <c r="O89" s="24">
        <f t="shared" si="11"/>
        <v>0.004506675781908524</v>
      </c>
    </row>
    <row r="90" spans="2:15" ht="12">
      <c r="B90" s="4">
        <v>87</v>
      </c>
      <c r="C90" s="5" t="s">
        <v>153</v>
      </c>
      <c r="D90" s="5" t="s">
        <v>154</v>
      </c>
      <c r="E90" s="6">
        <v>1</v>
      </c>
      <c r="F90" s="6">
        <v>10</v>
      </c>
      <c r="G90" s="7">
        <f>114.593556*E90*F90</f>
        <v>1145.9355600000001</v>
      </c>
      <c r="H90" s="7">
        <f>72.43721904*E90*F90</f>
        <v>724.3721904</v>
      </c>
      <c r="I90" s="7">
        <f>46.8495*E90*F90</f>
        <v>468.495</v>
      </c>
      <c r="J90" s="7">
        <f>109.093065312*E90*F90</f>
        <v>1090.93065312</v>
      </c>
      <c r="K90" s="7">
        <f>36.01220073696*E90*F90</f>
        <v>360.12200736959994</v>
      </c>
      <c r="L90" s="7">
        <f>22.9187112*E90*F90</f>
        <v>229.187112</v>
      </c>
      <c r="M90" s="20">
        <f t="shared" si="8"/>
        <v>4019.0425228896</v>
      </c>
      <c r="N90" s="23">
        <f t="shared" si="10"/>
        <v>4641.994113937489</v>
      </c>
      <c r="O90" s="24">
        <f t="shared" si="11"/>
        <v>0.023981007936873813</v>
      </c>
    </row>
    <row r="91" spans="2:15" ht="12">
      <c r="B91" s="4">
        <v>88</v>
      </c>
      <c r="C91" s="5" t="s">
        <v>155</v>
      </c>
      <c r="D91" s="5" t="s">
        <v>156</v>
      </c>
      <c r="E91" s="6">
        <v>0.06</v>
      </c>
      <c r="F91" s="6">
        <v>365</v>
      </c>
      <c r="G91" s="7">
        <f>783.58698*E91*F91</f>
        <v>17160.554862</v>
      </c>
      <c r="H91" s="7">
        <f>5.3136*E91*F91</f>
        <v>116.36784</v>
      </c>
      <c r="I91" s="7">
        <f aca="true" t="shared" si="12" ref="I91:I101">0*E91*F91</f>
        <v>0</v>
      </c>
      <c r="J91" s="7">
        <f>745.97480496*E91*F91</f>
        <v>16336.848228624001</v>
      </c>
      <c r="K91" s="7">
        <f>161.1619154208*E91*F91</f>
        <v>3529.44594771552</v>
      </c>
      <c r="L91" s="7">
        <f>156.717396*E91*F91</f>
        <v>3432.1109724000003</v>
      </c>
      <c r="M91" s="20">
        <f t="shared" si="8"/>
        <v>40575.327850739515</v>
      </c>
      <c r="N91" s="23">
        <f t="shared" si="10"/>
        <v>46864.50366760414</v>
      </c>
      <c r="O91" s="24">
        <f t="shared" si="11"/>
        <v>0.24210673405123606</v>
      </c>
    </row>
    <row r="92" spans="2:15" ht="12">
      <c r="B92" s="4">
        <v>89</v>
      </c>
      <c r="C92" s="5" t="s">
        <v>157</v>
      </c>
      <c r="D92" s="5" t="s">
        <v>158</v>
      </c>
      <c r="E92" s="6">
        <v>0.1</v>
      </c>
      <c r="F92" s="6">
        <v>2</v>
      </c>
      <c r="G92" s="7">
        <f>8769.915*E92*F92</f>
        <v>1753.9830000000002</v>
      </c>
      <c r="H92" s="7">
        <f>0*E92*F92</f>
        <v>0</v>
      </c>
      <c r="I92" s="7">
        <f t="shared" si="12"/>
        <v>0</v>
      </c>
      <c r="J92" s="7">
        <f>8348.95908*E92*F92</f>
        <v>1669.7918160000002</v>
      </c>
      <c r="K92" s="7">
        <f>1797.4817784*E92*F92</f>
        <v>359.49635568</v>
      </c>
      <c r="L92" s="7">
        <f>1753.983*E92*F92</f>
        <v>350.7966</v>
      </c>
      <c r="M92" s="20">
        <f t="shared" si="8"/>
        <v>4134.06777168</v>
      </c>
      <c r="N92" s="23">
        <f t="shared" si="10"/>
        <v>4774.8482762904005</v>
      </c>
      <c r="O92" s="24">
        <f t="shared" si="11"/>
        <v>0.024667345886391256</v>
      </c>
    </row>
    <row r="93" spans="2:15" ht="36">
      <c r="B93" s="4">
        <v>90</v>
      </c>
      <c r="C93" s="5" t="s">
        <v>159</v>
      </c>
      <c r="D93" s="5" t="s">
        <v>160</v>
      </c>
      <c r="E93" s="6">
        <v>0.18</v>
      </c>
      <c r="F93" s="6">
        <v>6</v>
      </c>
      <c r="G93" s="7">
        <f>2299.507452*E93*F93</f>
        <v>2483.46804816</v>
      </c>
      <c r="H93" s="7">
        <f>69.427227*E93*F93</f>
        <v>74.98140516000001</v>
      </c>
      <c r="I93" s="7">
        <f t="shared" si="12"/>
        <v>0</v>
      </c>
      <c r="J93" s="7">
        <f>2189.131094304*E93*F93</f>
        <v>2364.2615818483196</v>
      </c>
      <c r="K93" s="7">
        <f>478.59690619692*E93*F93</f>
        <v>516.8846586926736</v>
      </c>
      <c r="L93" s="7">
        <f>459.9014904*E93*F93</f>
        <v>496.69360963199995</v>
      </c>
      <c r="M93" s="20">
        <f t="shared" si="8"/>
        <v>5936.289303492993</v>
      </c>
      <c r="N93" s="23">
        <f t="shared" si="10"/>
        <v>6856.414145534407</v>
      </c>
      <c r="O93" s="24">
        <f t="shared" si="11"/>
        <v>0.03542092428529277</v>
      </c>
    </row>
    <row r="94" spans="2:15" ht="36">
      <c r="B94" s="4">
        <v>91</v>
      </c>
      <c r="C94" s="5" t="s">
        <v>161</v>
      </c>
      <c r="D94" s="5" t="s">
        <v>160</v>
      </c>
      <c r="E94" s="6">
        <v>0.18</v>
      </c>
      <c r="F94" s="6">
        <v>18</v>
      </c>
      <c r="G94" s="7">
        <f>10021.042548*E94*F94</f>
        <v>32468.177855519996</v>
      </c>
      <c r="H94" s="7">
        <f>246.30012*E94*F94</f>
        <v>798.0123888</v>
      </c>
      <c r="I94" s="7">
        <f t="shared" si="12"/>
        <v>0</v>
      </c>
      <c r="J94" s="7">
        <f>9540.032505696*E94*F94</f>
        <v>30909.705318455035</v>
      </c>
      <c r="K94" s="7">
        <f>2079.7743932381*E94*F94</f>
        <v>6738.469034091444</v>
      </c>
      <c r="L94" s="7">
        <f>2004.2085096*E94*F94</f>
        <v>6493.635571104</v>
      </c>
      <c r="M94" s="20">
        <f t="shared" si="8"/>
        <v>77408.00016797046</v>
      </c>
      <c r="N94" s="23">
        <f t="shared" si="10"/>
        <v>89406.24019400588</v>
      </c>
      <c r="O94" s="24">
        <f t="shared" si="11"/>
        <v>0.4618816187769457</v>
      </c>
    </row>
    <row r="95" spans="2:15" ht="36">
      <c r="B95" s="4">
        <v>92</v>
      </c>
      <c r="C95" s="5" t="s">
        <v>162</v>
      </c>
      <c r="D95" s="5" t="s">
        <v>160</v>
      </c>
      <c r="E95" s="6">
        <v>0.05</v>
      </c>
      <c r="F95" s="6">
        <v>8</v>
      </c>
      <c r="G95" s="7">
        <f>107599.798548*E95*F95</f>
        <v>43039.91941920001</v>
      </c>
      <c r="H95" s="7">
        <f>70361.41323*E95*F95</f>
        <v>28144.565292000003</v>
      </c>
      <c r="I95" s="7">
        <f t="shared" si="12"/>
        <v>0</v>
      </c>
      <c r="J95" s="7">
        <f>102435.0082177*E95*F95</f>
        <v>40974.003287080006</v>
      </c>
      <c r="K95" s="7">
        <f>29441.603099548*E95*F95</f>
        <v>11776.6412398192</v>
      </c>
      <c r="L95" s="7">
        <f>21519.9597096*E95*F95</f>
        <v>8607.983883840001</v>
      </c>
      <c r="M95" s="20">
        <f t="shared" si="8"/>
        <v>132543.1131219392</v>
      </c>
      <c r="N95" s="23">
        <f t="shared" si="10"/>
        <v>153087.2956558398</v>
      </c>
      <c r="O95" s="24">
        <f t="shared" si="11"/>
        <v>0.7908643488225414</v>
      </c>
    </row>
    <row r="96" spans="2:15" ht="12">
      <c r="B96" s="4">
        <v>93</v>
      </c>
      <c r="C96" s="5" t="s">
        <v>163</v>
      </c>
      <c r="D96" s="5" t="s">
        <v>164</v>
      </c>
      <c r="E96" s="6">
        <v>2.5</v>
      </c>
      <c r="F96" s="6">
        <v>2</v>
      </c>
      <c r="G96" s="7">
        <f>295.6932*E96*F96</f>
        <v>1478.466</v>
      </c>
      <c r="H96" s="7">
        <f>0*E96*F96</f>
        <v>0</v>
      </c>
      <c r="I96" s="7">
        <f t="shared" si="12"/>
        <v>0</v>
      </c>
      <c r="J96" s="7">
        <f>281.4999264*E96*F96</f>
        <v>1407.499632</v>
      </c>
      <c r="K96" s="7">
        <f>60.605278272*E96*F96</f>
        <v>303.02639136</v>
      </c>
      <c r="L96" s="7">
        <f>59.13864*E96*F96</f>
        <v>295.6932</v>
      </c>
      <c r="M96" s="20">
        <f t="shared" si="8"/>
        <v>3484.6852233600002</v>
      </c>
      <c r="N96" s="23">
        <f t="shared" si="10"/>
        <v>4024.8114329808004</v>
      </c>
      <c r="O96" s="24">
        <f t="shared" si="11"/>
        <v>0.020792580203610488</v>
      </c>
    </row>
    <row r="97" spans="2:15" ht="12">
      <c r="B97" s="4">
        <v>94</v>
      </c>
      <c r="C97" s="5" t="s">
        <v>165</v>
      </c>
      <c r="D97" s="5" t="s">
        <v>166</v>
      </c>
      <c r="E97" s="6">
        <v>2.5</v>
      </c>
      <c r="F97" s="6">
        <v>2</v>
      </c>
      <c r="G97" s="7">
        <f>118.27728*E97*F97</f>
        <v>591.3864</v>
      </c>
      <c r="H97" s="7">
        <f>0*E97*F97</f>
        <v>0</v>
      </c>
      <c r="I97" s="7">
        <f t="shared" si="12"/>
        <v>0</v>
      </c>
      <c r="J97" s="7">
        <f>112.59997056*E97*F97</f>
        <v>562.9998528</v>
      </c>
      <c r="K97" s="7">
        <f>24.2421113088*E97*F97</f>
        <v>121.21055654399999</v>
      </c>
      <c r="L97" s="7">
        <f>23.655456*E97*F97</f>
        <v>118.27728</v>
      </c>
      <c r="M97" s="20">
        <f t="shared" si="8"/>
        <v>1393.874089344</v>
      </c>
      <c r="N97" s="23">
        <f t="shared" si="10"/>
        <v>1609.92457319232</v>
      </c>
      <c r="O97" s="24">
        <f t="shared" si="11"/>
        <v>0.008317032081444194</v>
      </c>
    </row>
    <row r="98" spans="2:15" ht="24">
      <c r="B98" s="4">
        <v>95</v>
      </c>
      <c r="C98" s="5" t="s">
        <v>167</v>
      </c>
      <c r="D98" s="5" t="s">
        <v>168</v>
      </c>
      <c r="E98" s="6">
        <v>1.4</v>
      </c>
      <c r="F98" s="6">
        <v>50</v>
      </c>
      <c r="G98" s="7">
        <f>136.018872*E98*F98</f>
        <v>9521.321039999999</v>
      </c>
      <c r="H98" s="7">
        <f>0.69285039*E98*F98</f>
        <v>48.4995273</v>
      </c>
      <c r="I98" s="7">
        <f t="shared" si="12"/>
        <v>0</v>
      </c>
      <c r="J98" s="7">
        <f>129.489966144*E98*F98</f>
        <v>9064.297630079998</v>
      </c>
      <c r="K98" s="7">
        <f>27.95117729607*E98*F98</f>
        <v>1956.5824107249</v>
      </c>
      <c r="L98" s="7">
        <f>27.2037744*E98*F98</f>
        <v>1904.264208</v>
      </c>
      <c r="M98" s="20">
        <f t="shared" si="8"/>
        <v>22494.964816104897</v>
      </c>
      <c r="N98" s="23">
        <f t="shared" si="10"/>
        <v>25981.684362601158</v>
      </c>
      <c r="O98" s="24">
        <f t="shared" si="11"/>
        <v>0.13422399159062767</v>
      </c>
    </row>
    <row r="99" spans="2:15" ht="24">
      <c r="B99" s="4">
        <v>96</v>
      </c>
      <c r="C99" s="5" t="s">
        <v>169</v>
      </c>
      <c r="D99" s="5" t="s">
        <v>168</v>
      </c>
      <c r="E99" s="6">
        <v>1.4</v>
      </c>
      <c r="F99" s="6">
        <v>20</v>
      </c>
      <c r="G99" s="7">
        <f>25.133922*E99*F99</f>
        <v>703.7498159999998</v>
      </c>
      <c r="H99" s="7">
        <f>0.3310668*E99*F99</f>
        <v>9.269870399999999</v>
      </c>
      <c r="I99" s="7">
        <f t="shared" si="12"/>
        <v>0</v>
      </c>
      <c r="J99" s="7">
        <f>23.927493744*E99*F99</f>
        <v>669.969824832</v>
      </c>
      <c r="K99" s="7">
        <f>5.18621066712*E99*F99</f>
        <v>145.21389867936</v>
      </c>
      <c r="L99" s="7">
        <f>5.0267844*E99*F99</f>
        <v>140.7499632</v>
      </c>
      <c r="M99" s="20">
        <f t="shared" si="8"/>
        <v>1668.9533731113595</v>
      </c>
      <c r="N99" s="23">
        <f t="shared" si="10"/>
        <v>1927.6411459436204</v>
      </c>
      <c r="O99" s="24">
        <f t="shared" si="11"/>
        <v>0.009958387814737544</v>
      </c>
    </row>
    <row r="100" spans="2:15" ht="24">
      <c r="B100" s="4">
        <v>97</v>
      </c>
      <c r="C100" s="5" t="s">
        <v>170</v>
      </c>
      <c r="D100" s="5" t="s">
        <v>171</v>
      </c>
      <c r="E100" s="6">
        <v>6</v>
      </c>
      <c r="F100" s="6">
        <v>5</v>
      </c>
      <c r="G100" s="7">
        <f>51.5491812*E100*F100</f>
        <v>1546.4754360000002</v>
      </c>
      <c r="H100" s="7">
        <f>0.2405757*E100*F100</f>
        <v>7.217271</v>
      </c>
      <c r="I100" s="7">
        <f t="shared" si="12"/>
        <v>0</v>
      </c>
      <c r="J100" s="7">
        <f>49.0748205024*E100*F100</f>
        <v>1472.244615072</v>
      </c>
      <c r="K100" s="7">
        <f>10.590780627252*E100*F100</f>
        <v>317.72341881756</v>
      </c>
      <c r="L100" s="7">
        <f>10.30983624*E100*F100</f>
        <v>309.29508719999995</v>
      </c>
      <c r="M100" s="20">
        <f>SUM(G100:L100)</f>
        <v>3652.95582808956</v>
      </c>
      <c r="N100" s="23">
        <f t="shared" si="10"/>
        <v>4219.163981443442</v>
      </c>
      <c r="O100" s="24">
        <f t="shared" si="11"/>
        <v>0.02179662499402511</v>
      </c>
    </row>
    <row r="101" spans="2:15" ht="12.75" thickBot="1">
      <c r="B101" s="4">
        <v>98</v>
      </c>
      <c r="C101" s="5" t="s">
        <v>172</v>
      </c>
      <c r="D101" s="5" t="s">
        <v>154</v>
      </c>
      <c r="E101" s="6">
        <v>0.1</v>
      </c>
      <c r="F101" s="6">
        <v>365</v>
      </c>
      <c r="G101" s="7">
        <f>239.511492*E101*F101</f>
        <v>8742.169458</v>
      </c>
      <c r="H101" s="7">
        <f>1.41696*E101*F101</f>
        <v>51.71904000000001</v>
      </c>
      <c r="I101" s="7">
        <f t="shared" si="12"/>
        <v>0</v>
      </c>
      <c r="J101" s="7">
        <f>228.014940384*E101*F101</f>
        <v>8322.545324016</v>
      </c>
      <c r="K101" s="7">
        <f>49.23905620032*E101*F101</f>
        <v>1797.2255513116802</v>
      </c>
      <c r="L101" s="7">
        <f>47.9022984*E101*F101</f>
        <v>1748.4338916000002</v>
      </c>
      <c r="M101" s="20">
        <f>SUM(G101:L101)</f>
        <v>20662.09326492768</v>
      </c>
      <c r="N101" s="23">
        <f t="shared" si="10"/>
        <v>23864.71772099147</v>
      </c>
      <c r="O101" s="24">
        <f t="shared" si="11"/>
        <v>0.12328752924525066</v>
      </c>
    </row>
    <row r="102" spans="2:15" ht="12.75" thickBot="1">
      <c r="B102" s="25"/>
      <c r="C102" s="26" t="s">
        <v>341</v>
      </c>
      <c r="D102" s="26"/>
      <c r="E102" s="26"/>
      <c r="F102" s="27"/>
      <c r="G102" s="11">
        <f aca="true" t="shared" si="13" ref="G102:M102">SUM(G4:G101)</f>
        <v>554309.4639323911</v>
      </c>
      <c r="H102" s="11">
        <f t="shared" si="13"/>
        <v>326951.92694267613</v>
      </c>
      <c r="I102" s="11">
        <f t="shared" si="13"/>
        <v>494.857624</v>
      </c>
      <c r="J102" s="11">
        <f t="shared" si="13"/>
        <v>527714.2218214896</v>
      </c>
      <c r="K102" s="11">
        <f t="shared" si="13"/>
        <v>147994.39938365784</v>
      </c>
      <c r="L102" s="11">
        <f t="shared" si="13"/>
        <v>110864.33231543822</v>
      </c>
      <c r="M102" s="21">
        <f t="shared" si="13"/>
        <v>1668329.2020196521</v>
      </c>
      <c r="N102" s="21">
        <f>SUM(N4:N101)</f>
        <v>1926920.2283326988</v>
      </c>
      <c r="O102" s="21">
        <f>SUM(O4:O101)</f>
        <v>9.954663481934656</v>
      </c>
    </row>
    <row r="103" spans="2:15" ht="24">
      <c r="B103" s="22"/>
      <c r="C103" s="28" t="s">
        <v>342</v>
      </c>
      <c r="D103" s="29"/>
      <c r="E103" s="55"/>
      <c r="F103" s="56"/>
      <c r="G103" s="56"/>
      <c r="H103" s="56"/>
      <c r="I103" s="56"/>
      <c r="J103" s="56"/>
      <c r="K103" s="56"/>
      <c r="L103" s="56"/>
      <c r="M103" s="57"/>
      <c r="N103" s="22"/>
      <c r="O103" s="22"/>
    </row>
    <row r="104" spans="2:15" ht="24">
      <c r="B104" s="22">
        <v>99</v>
      </c>
      <c r="C104" s="5" t="s">
        <v>343</v>
      </c>
      <c r="D104" s="30" t="s">
        <v>344</v>
      </c>
      <c r="E104" s="51" t="s">
        <v>345</v>
      </c>
      <c r="F104" s="52"/>
      <c r="G104" s="52"/>
      <c r="H104" s="52"/>
      <c r="I104" s="52"/>
      <c r="J104" s="52"/>
      <c r="K104" s="52"/>
      <c r="L104" s="52"/>
      <c r="M104" s="53"/>
      <c r="N104" s="23">
        <f>3.89*15416.1*12</f>
        <v>719623.548</v>
      </c>
      <c r="O104" s="24">
        <v>3.89</v>
      </c>
    </row>
    <row r="105" spans="2:15" ht="36">
      <c r="B105" s="22">
        <v>100</v>
      </c>
      <c r="C105" s="5" t="s">
        <v>346</v>
      </c>
      <c r="D105" s="30" t="s">
        <v>347</v>
      </c>
      <c r="E105" s="51" t="s">
        <v>348</v>
      </c>
      <c r="F105" s="52"/>
      <c r="G105" s="52"/>
      <c r="H105" s="52"/>
      <c r="I105" s="52"/>
      <c r="J105" s="52"/>
      <c r="K105" s="52"/>
      <c r="L105" s="52"/>
      <c r="M105" s="53"/>
      <c r="N105" s="23">
        <f>4025*6*12</f>
        <v>289800</v>
      </c>
      <c r="O105" s="24">
        <f>N105/14319/12</f>
        <v>1.686570291221454</v>
      </c>
    </row>
    <row r="106" spans="2:15" ht="36">
      <c r="B106" s="22">
        <v>101</v>
      </c>
      <c r="C106" s="5" t="s">
        <v>349</v>
      </c>
      <c r="D106" s="30" t="s">
        <v>347</v>
      </c>
      <c r="E106" s="51" t="s">
        <v>350</v>
      </c>
      <c r="F106" s="52"/>
      <c r="G106" s="52"/>
      <c r="H106" s="52"/>
      <c r="I106" s="52"/>
      <c r="J106" s="52"/>
      <c r="K106" s="52"/>
      <c r="L106" s="52"/>
      <c r="M106" s="53"/>
      <c r="N106" s="23">
        <f>4200*6</f>
        <v>25200</v>
      </c>
      <c r="O106" s="24">
        <f>N106/14319/12</f>
        <v>0.14665828619316992</v>
      </c>
    </row>
    <row r="107" spans="2:15" ht="36">
      <c r="B107" s="22">
        <v>102</v>
      </c>
      <c r="C107" s="29" t="s">
        <v>351</v>
      </c>
      <c r="D107" s="30" t="s">
        <v>347</v>
      </c>
      <c r="E107" s="51" t="s">
        <v>352</v>
      </c>
      <c r="F107" s="52"/>
      <c r="G107" s="52"/>
      <c r="H107" s="52"/>
      <c r="I107" s="52"/>
      <c r="J107" s="52"/>
      <c r="K107" s="52"/>
      <c r="L107" s="52"/>
      <c r="M107" s="53"/>
      <c r="N107" s="23">
        <v>6557.2</v>
      </c>
      <c r="O107" s="24">
        <f>N107/14319/12</f>
        <v>0.03816141723118467</v>
      </c>
    </row>
    <row r="108" spans="2:15" ht="36">
      <c r="B108" s="22">
        <v>103</v>
      </c>
      <c r="C108" s="29" t="s">
        <v>353</v>
      </c>
      <c r="D108" s="29" t="s">
        <v>354</v>
      </c>
      <c r="E108" s="47" t="s">
        <v>355</v>
      </c>
      <c r="F108" s="48"/>
      <c r="G108" s="48"/>
      <c r="H108" s="48"/>
      <c r="I108" s="48"/>
      <c r="J108" s="48"/>
      <c r="K108" s="48"/>
      <c r="L108" s="48"/>
      <c r="M108" s="49"/>
      <c r="N108" s="23">
        <v>11110.56</v>
      </c>
      <c r="O108" s="24">
        <f aca="true" t="shared" si="14" ref="O108:O114">N108/16130.8/12</f>
        <v>0.05739826914970119</v>
      </c>
    </row>
    <row r="109" spans="2:15" ht="36">
      <c r="B109" s="22">
        <v>104</v>
      </c>
      <c r="C109" s="29" t="s">
        <v>356</v>
      </c>
      <c r="D109" s="29" t="s">
        <v>354</v>
      </c>
      <c r="E109" s="50" t="s">
        <v>357</v>
      </c>
      <c r="F109" s="48"/>
      <c r="G109" s="48"/>
      <c r="H109" s="48"/>
      <c r="I109" s="48"/>
      <c r="J109" s="48"/>
      <c r="K109" s="48"/>
      <c r="L109" s="48"/>
      <c r="M109" s="49"/>
      <c r="N109" s="23">
        <v>41537.16</v>
      </c>
      <c r="O109" s="24">
        <f t="shared" si="14"/>
        <v>0.21458514146849508</v>
      </c>
    </row>
    <row r="110" spans="2:15" ht="36">
      <c r="B110" s="22">
        <v>105</v>
      </c>
      <c r="C110" s="29" t="s">
        <v>358</v>
      </c>
      <c r="D110" s="29" t="s">
        <v>354</v>
      </c>
      <c r="E110" s="50" t="s">
        <v>359</v>
      </c>
      <c r="F110" s="48"/>
      <c r="G110" s="48"/>
      <c r="H110" s="48"/>
      <c r="I110" s="48"/>
      <c r="J110" s="48"/>
      <c r="K110" s="48"/>
      <c r="L110" s="48"/>
      <c r="M110" s="49"/>
      <c r="N110" s="23">
        <v>899499.39</v>
      </c>
      <c r="O110" s="24">
        <f t="shared" si="14"/>
        <v>4.646904214298114</v>
      </c>
    </row>
    <row r="111" spans="2:15" ht="36">
      <c r="B111" s="22">
        <v>106</v>
      </c>
      <c r="C111" s="29" t="s">
        <v>360</v>
      </c>
      <c r="D111" s="29" t="s">
        <v>354</v>
      </c>
      <c r="E111" s="51" t="s">
        <v>361</v>
      </c>
      <c r="F111" s="52"/>
      <c r="G111" s="52"/>
      <c r="H111" s="52"/>
      <c r="I111" s="52"/>
      <c r="J111" s="52"/>
      <c r="K111" s="52"/>
      <c r="L111" s="52"/>
      <c r="M111" s="53"/>
      <c r="N111" s="23">
        <v>1500</v>
      </c>
      <c r="O111" s="24">
        <f t="shared" si="14"/>
        <v>0.007749150693084038</v>
      </c>
    </row>
    <row r="112" spans="2:15" ht="36">
      <c r="B112" s="22">
        <v>107</v>
      </c>
      <c r="C112" s="5" t="s">
        <v>362</v>
      </c>
      <c r="D112" s="29" t="s">
        <v>354</v>
      </c>
      <c r="E112" s="54" t="s">
        <v>363</v>
      </c>
      <c r="F112" s="52"/>
      <c r="G112" s="52"/>
      <c r="H112" s="52"/>
      <c r="I112" s="52"/>
      <c r="J112" s="52"/>
      <c r="K112" s="52"/>
      <c r="L112" s="52"/>
      <c r="M112" s="53"/>
      <c r="N112" s="23">
        <f>983+445</f>
        <v>1428</v>
      </c>
      <c r="O112" s="24">
        <f t="shared" si="14"/>
        <v>0.007377191459816004</v>
      </c>
    </row>
    <row r="113" spans="2:15" ht="36">
      <c r="B113" s="22">
        <v>108</v>
      </c>
      <c r="C113" s="5" t="s">
        <v>364</v>
      </c>
      <c r="D113" s="29" t="s">
        <v>354</v>
      </c>
      <c r="E113" s="47" t="s">
        <v>365</v>
      </c>
      <c r="F113" s="48"/>
      <c r="G113" s="48"/>
      <c r="H113" s="48"/>
      <c r="I113" s="48"/>
      <c r="J113" s="48"/>
      <c r="K113" s="48"/>
      <c r="L113" s="48"/>
      <c r="M113" s="49"/>
      <c r="N113" s="23">
        <f>1680+2700+107</f>
        <v>4487</v>
      </c>
      <c r="O113" s="24">
        <f t="shared" si="14"/>
        <v>0.023180292773245386</v>
      </c>
    </row>
    <row r="114" spans="2:15" ht="36">
      <c r="B114" s="22">
        <v>109</v>
      </c>
      <c r="C114" s="31" t="s">
        <v>366</v>
      </c>
      <c r="D114" s="32" t="s">
        <v>354</v>
      </c>
      <c r="E114" s="41" t="s">
        <v>367</v>
      </c>
      <c r="F114" s="42"/>
      <c r="G114" s="42"/>
      <c r="H114" s="42"/>
      <c r="I114" s="42"/>
      <c r="J114" s="42"/>
      <c r="K114" s="42"/>
      <c r="L114" s="42"/>
      <c r="M114" s="43"/>
      <c r="N114" s="33">
        <v>5000</v>
      </c>
      <c r="O114" s="24">
        <f t="shared" si="14"/>
        <v>0.025830502310280126</v>
      </c>
    </row>
    <row r="115" spans="2:15" ht="12">
      <c r="B115" s="22"/>
      <c r="C115" s="34" t="s">
        <v>368</v>
      </c>
      <c r="D115" s="22"/>
      <c r="E115" s="44" t="s">
        <v>369</v>
      </c>
      <c r="F115" s="45"/>
      <c r="G115" s="45"/>
      <c r="H115" s="45"/>
      <c r="I115" s="45"/>
      <c r="J115" s="45"/>
      <c r="K115" s="45"/>
      <c r="L115" s="45"/>
      <c r="M115" s="46"/>
      <c r="N115" s="24">
        <f>SUM(N102:N114)</f>
        <v>3932663.0863326993</v>
      </c>
      <c r="O115" s="35">
        <f>SUM(O102:O114)</f>
        <v>20.6990782387332</v>
      </c>
    </row>
    <row r="118" ht="12">
      <c r="O118" s="36"/>
    </row>
  </sheetData>
  <sheetProtection formatCells="0" formatColumns="0" formatRows="0" insertColumns="0" insertRows="0" insertHyperlinks="0" deleteColumns="0" deleteRows="0" sort="0" autoFilter="0" pivotTables="0"/>
  <mergeCells count="14">
    <mergeCell ref="E103:M103"/>
    <mergeCell ref="E104:M104"/>
    <mergeCell ref="E105:M105"/>
    <mergeCell ref="E106:M106"/>
    <mergeCell ref="E107:M107"/>
    <mergeCell ref="B1:M1"/>
    <mergeCell ref="E114:M114"/>
    <mergeCell ref="E115:M115"/>
    <mergeCell ref="E108:M108"/>
    <mergeCell ref="E109:M109"/>
    <mergeCell ref="E110:M110"/>
    <mergeCell ref="E111:M111"/>
    <mergeCell ref="E112:M112"/>
    <mergeCell ref="E113:M113"/>
  </mergeCells>
  <printOptions/>
  <pageMargins left="0.35" right="0.35" top="0.35" bottom="0.35" header="0.3" footer="0.3"/>
  <pageSetup fitToHeight="0" fitToWidth="1" horizontalDpi="600" verticalDpi="600" orientation="landscape" paperSize="9" scale="69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0"/>
  <sheetViews>
    <sheetView zoomScalePageLayoutView="0" workbookViewId="0" topLeftCell="B1">
      <selection activeCell="K6" sqref="K4:K6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60.00390625" style="0" customWidth="1"/>
    <col min="4" max="4" width="13.00390625" style="0" customWidth="1"/>
    <col min="5" max="5" width="11.00390625" style="0" customWidth="1"/>
    <col min="6" max="6" width="13.00390625" style="0" customWidth="1"/>
    <col min="7" max="7" width="15.00390625" style="0" customWidth="1"/>
  </cols>
  <sheetData>
    <row r="1" spans="2:7" ht="27.75" customHeight="1">
      <c r="B1" s="63" t="s">
        <v>174</v>
      </c>
      <c r="C1" s="63"/>
      <c r="D1" s="63"/>
      <c r="E1" s="63"/>
      <c r="F1" s="63"/>
      <c r="G1" s="63"/>
    </row>
    <row r="3" spans="1:7" ht="54">
      <c r="A3" s="37"/>
      <c r="B3" s="38" t="s">
        <v>1</v>
      </c>
      <c r="C3" s="38" t="s">
        <v>175</v>
      </c>
      <c r="D3" s="39" t="s">
        <v>176</v>
      </c>
      <c r="E3" s="39" t="s">
        <v>4</v>
      </c>
      <c r="F3" s="39" t="s">
        <v>177</v>
      </c>
      <c r="G3" s="40" t="s">
        <v>370</v>
      </c>
    </row>
    <row r="4" spans="2:7" ht="16.5">
      <c r="B4" s="62" t="s">
        <v>178</v>
      </c>
      <c r="C4" s="62"/>
      <c r="D4" s="62"/>
      <c r="E4" s="62"/>
      <c r="F4" s="62"/>
      <c r="G4" s="62"/>
    </row>
    <row r="5" spans="2:7" ht="12">
      <c r="B5" s="12">
        <v>1</v>
      </c>
      <c r="C5" s="13" t="s">
        <v>179</v>
      </c>
      <c r="D5" s="13" t="s">
        <v>180</v>
      </c>
      <c r="E5" s="14">
        <v>7.47</v>
      </c>
      <c r="F5" s="15">
        <v>131.87460000000002</v>
      </c>
      <c r="G5" s="17">
        <f aca="true" t="shared" si="0" ref="G5:G34">E5*F5</f>
        <v>985.1032620000001</v>
      </c>
    </row>
    <row r="6" spans="2:7" ht="12">
      <c r="B6" s="4">
        <v>2</v>
      </c>
      <c r="C6" s="5" t="s">
        <v>181</v>
      </c>
      <c r="D6" s="5" t="s">
        <v>180</v>
      </c>
      <c r="E6" s="16">
        <v>1492.6039</v>
      </c>
      <c r="F6" s="7">
        <v>98.5644</v>
      </c>
      <c r="G6" s="8">
        <f t="shared" si="0"/>
        <v>147117.60784116</v>
      </c>
    </row>
    <row r="7" spans="2:7" ht="12">
      <c r="B7" s="4">
        <v>3</v>
      </c>
      <c r="C7" s="5" t="s">
        <v>182</v>
      </c>
      <c r="D7" s="5" t="s">
        <v>180</v>
      </c>
      <c r="E7" s="16">
        <v>7.6</v>
      </c>
      <c r="F7" s="7">
        <v>131.87460000000002</v>
      </c>
      <c r="G7" s="8">
        <f t="shared" si="0"/>
        <v>1002.2469600000001</v>
      </c>
    </row>
    <row r="8" spans="2:7" ht="12">
      <c r="B8" s="4">
        <v>4</v>
      </c>
      <c r="C8" s="5" t="s">
        <v>183</v>
      </c>
      <c r="D8" s="5" t="s">
        <v>180</v>
      </c>
      <c r="E8" s="16">
        <v>14.01</v>
      </c>
      <c r="F8" s="7">
        <v>116.9322</v>
      </c>
      <c r="G8" s="8">
        <f t="shared" si="0"/>
        <v>1638.220122</v>
      </c>
    </row>
    <row r="9" spans="2:7" ht="24">
      <c r="B9" s="4">
        <v>5</v>
      </c>
      <c r="C9" s="5" t="s">
        <v>184</v>
      </c>
      <c r="D9" s="5" t="s">
        <v>180</v>
      </c>
      <c r="E9" s="16">
        <v>5.6</v>
      </c>
      <c r="F9" s="7">
        <v>131.87460000000002</v>
      </c>
      <c r="G9" s="8">
        <f t="shared" si="0"/>
        <v>738.4977600000001</v>
      </c>
    </row>
    <row r="10" spans="2:7" ht="12">
      <c r="B10" s="4">
        <v>6</v>
      </c>
      <c r="C10" s="5" t="s">
        <v>185</v>
      </c>
      <c r="D10" s="5" t="s">
        <v>180</v>
      </c>
      <c r="E10" s="16">
        <v>21.68</v>
      </c>
      <c r="F10" s="7">
        <v>116.9322</v>
      </c>
      <c r="G10" s="8">
        <f t="shared" si="0"/>
        <v>2535.090096</v>
      </c>
    </row>
    <row r="11" spans="2:7" ht="12">
      <c r="B11" s="4">
        <v>7</v>
      </c>
      <c r="C11" s="5" t="s">
        <v>186</v>
      </c>
      <c r="D11" s="5" t="s">
        <v>180</v>
      </c>
      <c r="E11" s="16">
        <v>28.68</v>
      </c>
      <c r="F11" s="7">
        <v>131.87460000000002</v>
      </c>
      <c r="G11" s="8">
        <f t="shared" si="0"/>
        <v>3782.1635280000005</v>
      </c>
    </row>
    <row r="12" spans="2:7" ht="24">
      <c r="B12" s="4">
        <v>8</v>
      </c>
      <c r="C12" s="5" t="s">
        <v>187</v>
      </c>
      <c r="D12" s="5" t="s">
        <v>180</v>
      </c>
      <c r="E12" s="16">
        <v>43.2</v>
      </c>
      <c r="F12" s="7">
        <v>202.19760000000002</v>
      </c>
      <c r="G12" s="8">
        <f t="shared" si="0"/>
        <v>8734.93632</v>
      </c>
    </row>
    <row r="13" spans="2:7" ht="12">
      <c r="B13" s="4">
        <v>9</v>
      </c>
      <c r="C13" s="5" t="s">
        <v>188</v>
      </c>
      <c r="D13" s="5" t="s">
        <v>180</v>
      </c>
      <c r="E13" s="16">
        <v>21.72</v>
      </c>
      <c r="F13" s="7">
        <v>98.5644</v>
      </c>
      <c r="G13" s="8">
        <f t="shared" si="0"/>
        <v>2140.818768</v>
      </c>
    </row>
    <row r="14" spans="2:7" ht="12">
      <c r="B14" s="4">
        <v>10</v>
      </c>
      <c r="C14" s="5" t="s">
        <v>189</v>
      </c>
      <c r="D14" s="5" t="s">
        <v>180</v>
      </c>
      <c r="E14" s="16">
        <v>24.8</v>
      </c>
      <c r="F14" s="7">
        <v>116.9322</v>
      </c>
      <c r="G14" s="8">
        <f t="shared" si="0"/>
        <v>2899.91856</v>
      </c>
    </row>
    <row r="15" spans="2:7" ht="24">
      <c r="B15" s="4">
        <v>11</v>
      </c>
      <c r="C15" s="5" t="s">
        <v>190</v>
      </c>
      <c r="D15" s="5" t="s">
        <v>180</v>
      </c>
      <c r="E15" s="16">
        <v>1813.83966314</v>
      </c>
      <c r="F15" s="7">
        <v>106.9266</v>
      </c>
      <c r="G15" s="8">
        <f t="shared" si="0"/>
        <v>193947.70812470553</v>
      </c>
    </row>
    <row r="16" spans="2:7" ht="24">
      <c r="B16" s="4">
        <v>12</v>
      </c>
      <c r="C16" s="5" t="s">
        <v>191</v>
      </c>
      <c r="D16" s="5" t="s">
        <v>192</v>
      </c>
      <c r="E16" s="16">
        <v>12</v>
      </c>
      <c r="F16" s="7">
        <v>131.87460000000002</v>
      </c>
      <c r="G16" s="8">
        <f t="shared" si="0"/>
        <v>1582.4952000000003</v>
      </c>
    </row>
    <row r="17" spans="2:7" ht="24">
      <c r="B17" s="4">
        <v>13</v>
      </c>
      <c r="C17" s="5" t="s">
        <v>193</v>
      </c>
      <c r="D17" s="5" t="s">
        <v>180</v>
      </c>
      <c r="E17" s="16">
        <v>12</v>
      </c>
      <c r="F17" s="7">
        <v>131.87460000000002</v>
      </c>
      <c r="G17" s="8">
        <f t="shared" si="0"/>
        <v>1582.4952000000003</v>
      </c>
    </row>
    <row r="18" spans="2:7" ht="24">
      <c r="B18" s="4">
        <v>14</v>
      </c>
      <c r="C18" s="5" t="s">
        <v>194</v>
      </c>
      <c r="D18" s="5" t="s">
        <v>180</v>
      </c>
      <c r="E18" s="16">
        <v>30.492</v>
      </c>
      <c r="F18" s="7">
        <v>131.87460000000002</v>
      </c>
      <c r="G18" s="8">
        <f t="shared" si="0"/>
        <v>4021.1203032000008</v>
      </c>
    </row>
    <row r="19" spans="2:7" ht="12">
      <c r="B19" s="4">
        <v>15</v>
      </c>
      <c r="C19" s="5" t="s">
        <v>195</v>
      </c>
      <c r="D19" s="5" t="s">
        <v>180</v>
      </c>
      <c r="E19" s="16">
        <v>123.9</v>
      </c>
      <c r="F19" s="7">
        <v>116.9322</v>
      </c>
      <c r="G19" s="8">
        <f t="shared" si="0"/>
        <v>14487.89958</v>
      </c>
    </row>
    <row r="20" spans="2:7" ht="12">
      <c r="B20" s="4">
        <v>16</v>
      </c>
      <c r="C20" s="5" t="s">
        <v>196</v>
      </c>
      <c r="D20" s="5" t="s">
        <v>180</v>
      </c>
      <c r="E20" s="16">
        <v>178.27933333</v>
      </c>
      <c r="F20" s="7">
        <v>106.9266</v>
      </c>
      <c r="G20" s="8">
        <f t="shared" si="0"/>
        <v>19062.802963243576</v>
      </c>
    </row>
    <row r="21" spans="2:7" ht="12">
      <c r="B21" s="4">
        <v>17</v>
      </c>
      <c r="C21" s="5" t="s">
        <v>197</v>
      </c>
      <c r="D21" s="5" t="s">
        <v>180</v>
      </c>
      <c r="E21" s="16">
        <v>222.99166665</v>
      </c>
      <c r="F21" s="7">
        <v>116.9322</v>
      </c>
      <c r="G21" s="8">
        <f t="shared" si="0"/>
        <v>26074.90616305113</v>
      </c>
    </row>
    <row r="22" spans="2:7" ht="12">
      <c r="B22" s="4">
        <v>18</v>
      </c>
      <c r="C22" s="5" t="s">
        <v>198</v>
      </c>
      <c r="D22" s="5" t="s">
        <v>180</v>
      </c>
      <c r="E22" s="16">
        <v>477.369</v>
      </c>
      <c r="F22" s="7">
        <v>131.87460000000002</v>
      </c>
      <c r="G22" s="8">
        <f t="shared" si="0"/>
        <v>62952.84592740001</v>
      </c>
    </row>
    <row r="23" spans="2:7" ht="12">
      <c r="B23" s="4">
        <v>19</v>
      </c>
      <c r="C23" s="5" t="s">
        <v>199</v>
      </c>
      <c r="D23" s="5" t="s">
        <v>180</v>
      </c>
      <c r="E23" s="16">
        <v>2.56666665</v>
      </c>
      <c r="F23" s="7">
        <v>152.0244</v>
      </c>
      <c r="G23" s="8">
        <f t="shared" si="0"/>
        <v>390.19595746626004</v>
      </c>
    </row>
    <row r="24" spans="2:7" ht="12">
      <c r="B24" s="4">
        <v>20</v>
      </c>
      <c r="C24" s="5" t="s">
        <v>200</v>
      </c>
      <c r="D24" s="5" t="s">
        <v>180</v>
      </c>
      <c r="E24" s="16">
        <v>2.56666665</v>
      </c>
      <c r="F24" s="7">
        <v>177.11100000000002</v>
      </c>
      <c r="G24" s="8">
        <f t="shared" si="0"/>
        <v>454.5848970481501</v>
      </c>
    </row>
    <row r="25" spans="2:7" ht="12">
      <c r="B25" s="4">
        <v>21</v>
      </c>
      <c r="C25" s="5" t="s">
        <v>201</v>
      </c>
      <c r="D25" s="5" t="s">
        <v>180</v>
      </c>
      <c r="E25" s="16">
        <v>6.7</v>
      </c>
      <c r="F25" s="7">
        <v>106.9266</v>
      </c>
      <c r="G25" s="8">
        <f t="shared" si="0"/>
        <v>716.40822</v>
      </c>
    </row>
    <row r="26" spans="2:7" ht="12">
      <c r="B26" s="4">
        <v>22</v>
      </c>
      <c r="C26" s="5" t="s">
        <v>202</v>
      </c>
      <c r="D26" s="5" t="s">
        <v>180</v>
      </c>
      <c r="E26" s="16">
        <v>28.61</v>
      </c>
      <c r="F26" s="7">
        <v>116.9322</v>
      </c>
      <c r="G26" s="8">
        <f t="shared" si="0"/>
        <v>3345.430242</v>
      </c>
    </row>
    <row r="27" spans="2:7" ht="12">
      <c r="B27" s="4">
        <v>23</v>
      </c>
      <c r="C27" s="5" t="s">
        <v>203</v>
      </c>
      <c r="D27" s="5" t="s">
        <v>180</v>
      </c>
      <c r="E27" s="16">
        <v>2.724</v>
      </c>
      <c r="F27" s="7">
        <v>130.3632</v>
      </c>
      <c r="G27" s="8">
        <f t="shared" si="0"/>
        <v>355.10935680000006</v>
      </c>
    </row>
    <row r="28" spans="2:7" ht="12">
      <c r="B28" s="4">
        <v>24</v>
      </c>
      <c r="C28" s="5" t="s">
        <v>204</v>
      </c>
      <c r="D28" s="5" t="s">
        <v>180</v>
      </c>
      <c r="E28" s="16">
        <v>23.368</v>
      </c>
      <c r="F28" s="7">
        <v>131.87460000000002</v>
      </c>
      <c r="G28" s="8">
        <f t="shared" si="0"/>
        <v>3081.6456528000003</v>
      </c>
    </row>
    <row r="29" spans="2:7" ht="12">
      <c r="B29" s="4">
        <v>25</v>
      </c>
      <c r="C29" s="5" t="s">
        <v>205</v>
      </c>
      <c r="D29" s="5" t="s">
        <v>180</v>
      </c>
      <c r="E29" s="16">
        <v>13</v>
      </c>
      <c r="F29" s="7">
        <v>131.87460000000002</v>
      </c>
      <c r="G29" s="8">
        <f t="shared" si="0"/>
        <v>1714.3698000000002</v>
      </c>
    </row>
    <row r="30" spans="2:7" ht="12">
      <c r="B30" s="4">
        <v>26</v>
      </c>
      <c r="C30" s="5" t="s">
        <v>206</v>
      </c>
      <c r="D30" s="5" t="s">
        <v>180</v>
      </c>
      <c r="E30" s="16">
        <v>7.34933333</v>
      </c>
      <c r="F30" s="7">
        <v>131.87460000000002</v>
      </c>
      <c r="G30" s="8">
        <f t="shared" si="0"/>
        <v>969.1903931604181</v>
      </c>
    </row>
    <row r="31" spans="2:7" ht="24">
      <c r="B31" s="4">
        <v>27</v>
      </c>
      <c r="C31" s="5" t="s">
        <v>207</v>
      </c>
      <c r="D31" s="5" t="s">
        <v>208</v>
      </c>
      <c r="E31" s="16">
        <v>30.492</v>
      </c>
      <c r="F31" s="7">
        <v>152.0244</v>
      </c>
      <c r="G31" s="8">
        <f t="shared" si="0"/>
        <v>4635.5280048</v>
      </c>
    </row>
    <row r="32" spans="2:7" ht="24">
      <c r="B32" s="4">
        <v>28</v>
      </c>
      <c r="C32" s="5" t="s">
        <v>209</v>
      </c>
      <c r="D32" s="5" t="s">
        <v>180</v>
      </c>
      <c r="E32" s="16">
        <v>71.28</v>
      </c>
      <c r="F32" s="7">
        <v>106.9266</v>
      </c>
      <c r="G32" s="8">
        <f t="shared" si="0"/>
        <v>7621.728048</v>
      </c>
    </row>
    <row r="33" spans="2:7" ht="24">
      <c r="B33" s="4">
        <v>29</v>
      </c>
      <c r="C33" s="5" t="s">
        <v>210</v>
      </c>
      <c r="D33" s="5" t="s">
        <v>180</v>
      </c>
      <c r="E33" s="16">
        <v>200.42</v>
      </c>
      <c r="F33" s="7">
        <v>116.9322</v>
      </c>
      <c r="G33" s="8">
        <f t="shared" si="0"/>
        <v>23435.551524</v>
      </c>
    </row>
    <row r="34" spans="2:7" ht="24">
      <c r="B34" s="4">
        <v>30</v>
      </c>
      <c r="C34" s="5" t="s">
        <v>211</v>
      </c>
      <c r="D34" s="5" t="s">
        <v>180</v>
      </c>
      <c r="E34" s="16">
        <v>93.2919998</v>
      </c>
      <c r="F34" s="7">
        <v>131.87460000000002</v>
      </c>
      <c r="G34" s="8">
        <f t="shared" si="0"/>
        <v>12302.845156825082</v>
      </c>
    </row>
    <row r="35" spans="2:7" ht="12">
      <c r="B35" s="59" t="s">
        <v>173</v>
      </c>
      <c r="C35" s="60"/>
      <c r="D35" s="60"/>
      <c r="E35" s="60"/>
      <c r="F35" s="61"/>
      <c r="G35" s="9">
        <f>SUM(G5:G34)</f>
        <v>554309.46393166</v>
      </c>
    </row>
    <row r="36" spans="2:7" ht="16.5">
      <c r="B36" s="62" t="s">
        <v>212</v>
      </c>
      <c r="C36" s="62"/>
      <c r="D36" s="62"/>
      <c r="E36" s="62"/>
      <c r="F36" s="62"/>
      <c r="G36" s="62"/>
    </row>
    <row r="37" spans="2:7" ht="24">
      <c r="B37" s="12">
        <v>31</v>
      </c>
      <c r="C37" s="13" t="s">
        <v>213</v>
      </c>
      <c r="D37" s="13" t="s">
        <v>214</v>
      </c>
      <c r="E37" s="14">
        <v>2.2</v>
      </c>
      <c r="F37" s="15">
        <v>209.34599999999998</v>
      </c>
      <c r="G37" s="17">
        <f aca="true" t="shared" si="1" ref="G37:G100">E37*F37</f>
        <v>460.5612</v>
      </c>
    </row>
    <row r="38" spans="2:7" ht="24">
      <c r="B38" s="4">
        <v>32</v>
      </c>
      <c r="C38" s="5" t="s">
        <v>215</v>
      </c>
      <c r="D38" s="5" t="s">
        <v>214</v>
      </c>
      <c r="E38" s="16">
        <v>4.4</v>
      </c>
      <c r="F38" s="7">
        <v>42.5334</v>
      </c>
      <c r="G38" s="8">
        <f t="shared" si="1"/>
        <v>187.14696</v>
      </c>
    </row>
    <row r="39" spans="2:7" ht="24">
      <c r="B39" s="4">
        <v>33</v>
      </c>
      <c r="C39" s="5" t="s">
        <v>216</v>
      </c>
      <c r="D39" s="5" t="s">
        <v>214</v>
      </c>
      <c r="E39" s="16">
        <v>2.2</v>
      </c>
      <c r="F39" s="7">
        <v>51.783</v>
      </c>
      <c r="G39" s="8">
        <f t="shared" si="1"/>
        <v>113.92260000000002</v>
      </c>
    </row>
    <row r="40" spans="2:7" ht="24">
      <c r="B40" s="4">
        <v>34</v>
      </c>
      <c r="C40" s="5" t="s">
        <v>217</v>
      </c>
      <c r="D40" s="5" t="s">
        <v>214</v>
      </c>
      <c r="E40" s="16">
        <v>2.2</v>
      </c>
      <c r="F40" s="7">
        <v>69.1998</v>
      </c>
      <c r="G40" s="8">
        <f t="shared" si="1"/>
        <v>152.23956</v>
      </c>
    </row>
    <row r="41" spans="2:7" ht="24">
      <c r="B41" s="4">
        <v>35</v>
      </c>
      <c r="C41" s="5" t="s">
        <v>218</v>
      </c>
      <c r="D41" s="5" t="s">
        <v>214</v>
      </c>
      <c r="E41" s="16">
        <v>2.2</v>
      </c>
      <c r="F41" s="7">
        <v>93.16019999999999</v>
      </c>
      <c r="G41" s="8">
        <f t="shared" si="1"/>
        <v>204.95244</v>
      </c>
    </row>
    <row r="42" spans="2:7" ht="24">
      <c r="B42" s="4">
        <v>36</v>
      </c>
      <c r="C42" s="5" t="s">
        <v>219</v>
      </c>
      <c r="D42" s="5" t="s">
        <v>214</v>
      </c>
      <c r="E42" s="16">
        <v>2.2</v>
      </c>
      <c r="F42" s="7">
        <v>116.0259</v>
      </c>
      <c r="G42" s="8">
        <f t="shared" si="1"/>
        <v>255.25698</v>
      </c>
    </row>
    <row r="43" spans="2:7" ht="24">
      <c r="B43" s="4">
        <v>37</v>
      </c>
      <c r="C43" s="5" t="s">
        <v>220</v>
      </c>
      <c r="D43" s="5" t="s">
        <v>214</v>
      </c>
      <c r="E43" s="16">
        <v>2.2</v>
      </c>
      <c r="F43" s="7">
        <v>145.0662</v>
      </c>
      <c r="G43" s="8">
        <f t="shared" si="1"/>
        <v>319.14564000000007</v>
      </c>
    </row>
    <row r="44" spans="2:7" ht="12">
      <c r="B44" s="4">
        <v>38</v>
      </c>
      <c r="C44" s="5" t="s">
        <v>221</v>
      </c>
      <c r="D44" s="5" t="s">
        <v>222</v>
      </c>
      <c r="E44" s="16">
        <v>0.09</v>
      </c>
      <c r="F44" s="7">
        <v>417.05609999999996</v>
      </c>
      <c r="G44" s="8">
        <f t="shared" si="1"/>
        <v>37.535048999999994</v>
      </c>
    </row>
    <row r="45" spans="2:7" ht="12">
      <c r="B45" s="4">
        <v>39</v>
      </c>
      <c r="C45" s="5" t="s">
        <v>223</v>
      </c>
      <c r="D45" s="5" t="s">
        <v>224</v>
      </c>
      <c r="E45" s="16">
        <v>0.008</v>
      </c>
      <c r="F45" s="7">
        <v>55122.523799999995</v>
      </c>
      <c r="G45" s="8">
        <f t="shared" si="1"/>
        <v>440.98019039999997</v>
      </c>
    </row>
    <row r="46" spans="2:7" ht="24">
      <c r="B46" s="4">
        <v>40</v>
      </c>
      <c r="C46" s="5" t="s">
        <v>225</v>
      </c>
      <c r="D46" s="5" t="s">
        <v>224</v>
      </c>
      <c r="E46" s="16">
        <v>0.0265</v>
      </c>
      <c r="F46" s="7">
        <v>60713.1567</v>
      </c>
      <c r="G46" s="8">
        <f t="shared" si="1"/>
        <v>1608.89865255</v>
      </c>
    </row>
    <row r="47" spans="2:7" ht="24">
      <c r="B47" s="4">
        <v>41</v>
      </c>
      <c r="C47" s="5" t="s">
        <v>226</v>
      </c>
      <c r="D47" s="5" t="s">
        <v>224</v>
      </c>
      <c r="E47" s="16">
        <v>0.102</v>
      </c>
      <c r="F47" s="7">
        <v>66421.3653</v>
      </c>
      <c r="G47" s="8">
        <f t="shared" si="1"/>
        <v>6774.9792606</v>
      </c>
    </row>
    <row r="48" spans="2:7" ht="12">
      <c r="B48" s="4">
        <v>42</v>
      </c>
      <c r="C48" s="5" t="s">
        <v>227</v>
      </c>
      <c r="D48" s="5" t="s">
        <v>224</v>
      </c>
      <c r="E48" s="16">
        <v>0.00185</v>
      </c>
      <c r="F48" s="7">
        <v>86323.29419999999</v>
      </c>
      <c r="G48" s="8">
        <f t="shared" si="1"/>
        <v>159.69809426999998</v>
      </c>
    </row>
    <row r="49" spans="2:7" ht="24">
      <c r="B49" s="4">
        <v>43</v>
      </c>
      <c r="C49" s="5" t="s">
        <v>228</v>
      </c>
      <c r="D49" s="5" t="s">
        <v>222</v>
      </c>
      <c r="E49" s="16">
        <v>0.099</v>
      </c>
      <c r="F49" s="7">
        <v>4238.6538</v>
      </c>
      <c r="G49" s="8">
        <f t="shared" si="1"/>
        <v>419.6267262</v>
      </c>
    </row>
    <row r="50" spans="2:7" ht="12">
      <c r="B50" s="4">
        <v>44</v>
      </c>
      <c r="C50" s="5" t="s">
        <v>229</v>
      </c>
      <c r="D50" s="5" t="s">
        <v>214</v>
      </c>
      <c r="E50" s="16">
        <v>5</v>
      </c>
      <c r="F50" s="7">
        <v>117.096</v>
      </c>
      <c r="G50" s="8">
        <f t="shared" si="1"/>
        <v>585.48</v>
      </c>
    </row>
    <row r="51" spans="2:7" ht="12">
      <c r="B51" s="4">
        <v>45</v>
      </c>
      <c r="C51" s="5" t="s">
        <v>230</v>
      </c>
      <c r="D51" s="5" t="s">
        <v>231</v>
      </c>
      <c r="E51" s="16">
        <v>8.755</v>
      </c>
      <c r="F51" s="7">
        <v>21.4389</v>
      </c>
      <c r="G51" s="8">
        <f t="shared" si="1"/>
        <v>187.69756950000001</v>
      </c>
    </row>
    <row r="52" spans="2:7" ht="12">
      <c r="B52" s="4">
        <v>46</v>
      </c>
      <c r="C52" s="5" t="s">
        <v>232</v>
      </c>
      <c r="D52" s="5" t="s">
        <v>224</v>
      </c>
      <c r="E52" s="16">
        <v>0.00353</v>
      </c>
      <c r="F52" s="7">
        <v>153453.6315</v>
      </c>
      <c r="G52" s="8">
        <f t="shared" si="1"/>
        <v>541.691319195</v>
      </c>
    </row>
    <row r="53" spans="2:7" ht="12">
      <c r="B53" s="4">
        <v>47</v>
      </c>
      <c r="C53" s="5" t="s">
        <v>233</v>
      </c>
      <c r="D53" s="5" t="s">
        <v>222</v>
      </c>
      <c r="E53" s="16">
        <v>257.913</v>
      </c>
      <c r="F53" s="7">
        <v>20.5656</v>
      </c>
      <c r="G53" s="8">
        <f t="shared" si="1"/>
        <v>5304.1355928</v>
      </c>
    </row>
    <row r="54" spans="2:7" ht="12">
      <c r="B54" s="4">
        <v>48</v>
      </c>
      <c r="C54" s="5" t="s">
        <v>234</v>
      </c>
      <c r="D54" s="5" t="s">
        <v>224</v>
      </c>
      <c r="E54" s="16">
        <v>0.0176</v>
      </c>
      <c r="F54" s="7">
        <v>98909.7243</v>
      </c>
      <c r="G54" s="8">
        <f t="shared" si="1"/>
        <v>1740.8111476800002</v>
      </c>
    </row>
    <row r="55" spans="2:7" ht="12">
      <c r="B55" s="4">
        <v>49</v>
      </c>
      <c r="C55" s="5" t="s">
        <v>235</v>
      </c>
      <c r="D55" s="5" t="s">
        <v>236</v>
      </c>
      <c r="E55" s="16">
        <v>9.73</v>
      </c>
      <c r="F55" s="7">
        <v>206.4555</v>
      </c>
      <c r="G55" s="8">
        <f t="shared" si="1"/>
        <v>2008.8120150000002</v>
      </c>
    </row>
    <row r="56" spans="2:7" ht="12">
      <c r="B56" s="4">
        <v>50</v>
      </c>
      <c r="C56" s="5" t="s">
        <v>237</v>
      </c>
      <c r="D56" s="5" t="s">
        <v>214</v>
      </c>
      <c r="E56" s="16">
        <v>6.1</v>
      </c>
      <c r="F56" s="7">
        <v>39.6183</v>
      </c>
      <c r="G56" s="8">
        <f t="shared" si="1"/>
        <v>241.67162999999996</v>
      </c>
    </row>
    <row r="57" spans="2:7" ht="12">
      <c r="B57" s="4">
        <v>51</v>
      </c>
      <c r="C57" s="5" t="s">
        <v>238</v>
      </c>
      <c r="D57" s="5" t="s">
        <v>214</v>
      </c>
      <c r="E57" s="16">
        <v>30</v>
      </c>
      <c r="F57" s="7">
        <v>1680.0200999999997</v>
      </c>
      <c r="G57" s="8">
        <f t="shared" si="1"/>
        <v>50400.60299999999</v>
      </c>
    </row>
    <row r="58" spans="2:7" ht="12">
      <c r="B58" s="4">
        <v>52</v>
      </c>
      <c r="C58" s="5" t="s">
        <v>239</v>
      </c>
      <c r="D58" s="5" t="s">
        <v>214</v>
      </c>
      <c r="E58" s="16">
        <v>10</v>
      </c>
      <c r="F58" s="7">
        <v>62.840700000000005</v>
      </c>
      <c r="G58" s="8">
        <f t="shared" si="1"/>
        <v>628.407</v>
      </c>
    </row>
    <row r="59" spans="2:7" ht="12">
      <c r="B59" s="4">
        <v>53</v>
      </c>
      <c r="C59" s="5" t="s">
        <v>240</v>
      </c>
      <c r="D59" s="5" t="s">
        <v>224</v>
      </c>
      <c r="E59" s="16">
        <v>2E-05</v>
      </c>
      <c r="F59" s="7">
        <v>47506.6836</v>
      </c>
      <c r="G59" s="8">
        <f t="shared" si="1"/>
        <v>0.950133672</v>
      </c>
    </row>
    <row r="60" spans="2:7" ht="12">
      <c r="B60" s="4">
        <v>54</v>
      </c>
      <c r="C60" s="5" t="s">
        <v>241</v>
      </c>
      <c r="D60" s="5" t="s">
        <v>224</v>
      </c>
      <c r="E60" s="16">
        <v>0.028</v>
      </c>
      <c r="F60" s="7">
        <v>5175.0282</v>
      </c>
      <c r="G60" s="8">
        <f t="shared" si="1"/>
        <v>144.9007896</v>
      </c>
    </row>
    <row r="61" spans="2:7" ht="24">
      <c r="B61" s="4">
        <v>55</v>
      </c>
      <c r="C61" s="5" t="s">
        <v>242</v>
      </c>
      <c r="D61" s="5" t="s">
        <v>224</v>
      </c>
      <c r="E61" s="16">
        <v>0.000394</v>
      </c>
      <c r="F61" s="7">
        <v>81859.8702</v>
      </c>
      <c r="G61" s="8">
        <f t="shared" si="1"/>
        <v>32.2527888588</v>
      </c>
    </row>
    <row r="62" spans="2:7" ht="24">
      <c r="B62" s="4">
        <v>56</v>
      </c>
      <c r="C62" s="5" t="s">
        <v>243</v>
      </c>
      <c r="D62" s="5" t="s">
        <v>224</v>
      </c>
      <c r="E62" s="16">
        <v>6.8E-05</v>
      </c>
      <c r="F62" s="7">
        <v>71472.4218</v>
      </c>
      <c r="G62" s="8">
        <f t="shared" si="1"/>
        <v>4.8601246823999995</v>
      </c>
    </row>
    <row r="63" spans="2:7" ht="24">
      <c r="B63" s="4">
        <v>57</v>
      </c>
      <c r="C63" s="5" t="s">
        <v>244</v>
      </c>
      <c r="D63" s="5" t="s">
        <v>224</v>
      </c>
      <c r="E63" s="16">
        <v>7E-05</v>
      </c>
      <c r="F63" s="7">
        <v>80923.43430000001</v>
      </c>
      <c r="G63" s="8">
        <f t="shared" si="1"/>
        <v>5.664640401</v>
      </c>
    </row>
    <row r="64" spans="2:7" ht="24">
      <c r="B64" s="4">
        <v>58</v>
      </c>
      <c r="C64" s="5" t="s">
        <v>245</v>
      </c>
      <c r="D64" s="5" t="s">
        <v>224</v>
      </c>
      <c r="E64" s="16">
        <v>0.000195</v>
      </c>
      <c r="F64" s="7">
        <v>79763.59349999999</v>
      </c>
      <c r="G64" s="8">
        <f t="shared" si="1"/>
        <v>15.553900732499997</v>
      </c>
    </row>
    <row r="65" spans="2:7" ht="12">
      <c r="B65" s="4">
        <v>59</v>
      </c>
      <c r="C65" s="5" t="s">
        <v>246</v>
      </c>
      <c r="D65" s="5" t="s">
        <v>214</v>
      </c>
      <c r="E65" s="16">
        <v>5</v>
      </c>
      <c r="F65" s="7">
        <v>1391.3145000000002</v>
      </c>
      <c r="G65" s="8">
        <f t="shared" si="1"/>
        <v>6956.572500000001</v>
      </c>
    </row>
    <row r="66" spans="2:7" ht="24">
      <c r="B66" s="4">
        <v>60</v>
      </c>
      <c r="C66" s="5" t="s">
        <v>247</v>
      </c>
      <c r="D66" s="5" t="s">
        <v>214</v>
      </c>
      <c r="E66" s="16">
        <v>5</v>
      </c>
      <c r="F66" s="7">
        <v>2579.8880999999997</v>
      </c>
      <c r="G66" s="8">
        <f t="shared" si="1"/>
        <v>12899.440499999999</v>
      </c>
    </row>
    <row r="67" spans="2:7" ht="24">
      <c r="B67" s="4">
        <v>61</v>
      </c>
      <c r="C67" s="5" t="s">
        <v>248</v>
      </c>
      <c r="D67" s="5" t="s">
        <v>214</v>
      </c>
      <c r="E67" s="16">
        <v>5</v>
      </c>
      <c r="F67" s="7">
        <v>4594.7634</v>
      </c>
      <c r="G67" s="8">
        <f t="shared" si="1"/>
        <v>22973.817</v>
      </c>
    </row>
    <row r="68" spans="2:7" ht="12">
      <c r="B68" s="4">
        <v>62</v>
      </c>
      <c r="C68" s="5" t="s">
        <v>249</v>
      </c>
      <c r="D68" s="5" t="s">
        <v>214</v>
      </c>
      <c r="E68" s="16">
        <v>10</v>
      </c>
      <c r="F68" s="7">
        <v>518.6541</v>
      </c>
      <c r="G68" s="8">
        <f t="shared" si="1"/>
        <v>5186.540999999999</v>
      </c>
    </row>
    <row r="69" spans="2:7" ht="12">
      <c r="B69" s="4">
        <v>63</v>
      </c>
      <c r="C69" s="5" t="s">
        <v>250</v>
      </c>
      <c r="D69" s="5" t="s">
        <v>214</v>
      </c>
      <c r="E69" s="16">
        <v>10</v>
      </c>
      <c r="F69" s="7">
        <v>499.73670000000004</v>
      </c>
      <c r="G69" s="8">
        <f t="shared" si="1"/>
        <v>4997.367</v>
      </c>
    </row>
    <row r="70" spans="2:7" ht="12">
      <c r="B70" s="4">
        <v>64</v>
      </c>
      <c r="C70" s="5" t="s">
        <v>251</v>
      </c>
      <c r="D70" s="5" t="s">
        <v>231</v>
      </c>
      <c r="E70" s="16">
        <v>0.0076</v>
      </c>
      <c r="F70" s="7">
        <v>12.742799999999999</v>
      </c>
      <c r="G70" s="8">
        <f t="shared" si="1"/>
        <v>0.09684527999999999</v>
      </c>
    </row>
    <row r="71" spans="2:7" ht="12">
      <c r="B71" s="4">
        <v>65</v>
      </c>
      <c r="C71" s="5" t="s">
        <v>252</v>
      </c>
      <c r="D71" s="5" t="s">
        <v>222</v>
      </c>
      <c r="E71" s="16">
        <v>0.1</v>
      </c>
      <c r="F71" s="7">
        <v>61.1433</v>
      </c>
      <c r="G71" s="8">
        <f t="shared" si="1"/>
        <v>6.114330000000001</v>
      </c>
    </row>
    <row r="72" spans="2:7" ht="12">
      <c r="B72" s="4">
        <v>66</v>
      </c>
      <c r="C72" s="5" t="s">
        <v>253</v>
      </c>
      <c r="D72" s="5" t="s">
        <v>231</v>
      </c>
      <c r="E72" s="16">
        <v>0.22</v>
      </c>
      <c r="F72" s="7">
        <v>61.512299999999996</v>
      </c>
      <c r="G72" s="8">
        <f t="shared" si="1"/>
        <v>13.532706</v>
      </c>
    </row>
    <row r="73" spans="2:7" ht="12">
      <c r="B73" s="4">
        <v>67</v>
      </c>
      <c r="C73" s="5" t="s">
        <v>254</v>
      </c>
      <c r="D73" s="5" t="s">
        <v>214</v>
      </c>
      <c r="E73" s="16">
        <v>5</v>
      </c>
      <c r="F73" s="7">
        <v>41.0943</v>
      </c>
      <c r="G73" s="8">
        <f t="shared" si="1"/>
        <v>205.4715</v>
      </c>
    </row>
    <row r="74" spans="2:7" ht="12">
      <c r="B74" s="4">
        <v>68</v>
      </c>
      <c r="C74" s="5" t="s">
        <v>255</v>
      </c>
      <c r="D74" s="5" t="s">
        <v>224</v>
      </c>
      <c r="E74" s="16">
        <v>7E-05</v>
      </c>
      <c r="F74" s="7">
        <v>41587.5423</v>
      </c>
      <c r="G74" s="8">
        <f t="shared" si="1"/>
        <v>2.9111279609999996</v>
      </c>
    </row>
    <row r="75" spans="2:7" ht="12">
      <c r="B75" s="4">
        <v>69</v>
      </c>
      <c r="C75" s="5" t="s">
        <v>256</v>
      </c>
      <c r="D75" s="5" t="s">
        <v>231</v>
      </c>
      <c r="E75" s="16">
        <v>44.97</v>
      </c>
      <c r="F75" s="7">
        <v>47.5641</v>
      </c>
      <c r="G75" s="8">
        <f t="shared" si="1"/>
        <v>2138.957577</v>
      </c>
    </row>
    <row r="76" spans="2:7" ht="12">
      <c r="B76" s="4">
        <v>70</v>
      </c>
      <c r="C76" s="5" t="s">
        <v>257</v>
      </c>
      <c r="D76" s="5" t="s">
        <v>258</v>
      </c>
      <c r="E76" s="16">
        <v>180</v>
      </c>
      <c r="F76" s="7">
        <v>191.65859999999998</v>
      </c>
      <c r="G76" s="8">
        <f t="shared" si="1"/>
        <v>34498.547999999995</v>
      </c>
    </row>
    <row r="77" spans="2:7" ht="12">
      <c r="B77" s="4">
        <v>71</v>
      </c>
      <c r="C77" s="5" t="s">
        <v>259</v>
      </c>
      <c r="D77" s="5" t="s">
        <v>231</v>
      </c>
      <c r="E77" s="16">
        <v>2.49</v>
      </c>
      <c r="F77" s="7">
        <v>61.167899999999996</v>
      </c>
      <c r="G77" s="8">
        <f t="shared" si="1"/>
        <v>152.308071</v>
      </c>
    </row>
    <row r="78" spans="2:7" ht="24">
      <c r="B78" s="4">
        <v>72</v>
      </c>
      <c r="C78" s="5" t="s">
        <v>260</v>
      </c>
      <c r="D78" s="5" t="s">
        <v>231</v>
      </c>
      <c r="E78" s="16">
        <v>11</v>
      </c>
      <c r="F78" s="7">
        <v>119.6667</v>
      </c>
      <c r="G78" s="8">
        <f t="shared" si="1"/>
        <v>1316.3337000000001</v>
      </c>
    </row>
    <row r="79" spans="2:7" ht="12">
      <c r="B79" s="4">
        <v>73</v>
      </c>
      <c r="C79" s="5" t="s">
        <v>261</v>
      </c>
      <c r="D79" s="5" t="s">
        <v>231</v>
      </c>
      <c r="E79" s="16">
        <v>25</v>
      </c>
      <c r="F79" s="7">
        <v>69.2613</v>
      </c>
      <c r="G79" s="8">
        <f t="shared" si="1"/>
        <v>1731.5325000000003</v>
      </c>
    </row>
    <row r="80" spans="2:7" ht="12">
      <c r="B80" s="4">
        <v>74</v>
      </c>
      <c r="C80" s="5" t="s">
        <v>262</v>
      </c>
      <c r="D80" s="5" t="s">
        <v>231</v>
      </c>
      <c r="E80" s="16">
        <v>4</v>
      </c>
      <c r="F80" s="7">
        <v>91.20450000000001</v>
      </c>
      <c r="G80" s="8">
        <f t="shared" si="1"/>
        <v>364.81800000000004</v>
      </c>
    </row>
    <row r="81" spans="2:7" ht="12">
      <c r="B81" s="4">
        <v>75</v>
      </c>
      <c r="C81" s="5" t="s">
        <v>263</v>
      </c>
      <c r="D81" s="5" t="s">
        <v>224</v>
      </c>
      <c r="E81" s="16">
        <v>0.103</v>
      </c>
      <c r="F81" s="7">
        <v>29884.5474</v>
      </c>
      <c r="G81" s="8">
        <f t="shared" si="1"/>
        <v>3078.1083821999996</v>
      </c>
    </row>
    <row r="82" spans="2:7" ht="12">
      <c r="B82" s="4">
        <v>76</v>
      </c>
      <c r="C82" s="5" t="s">
        <v>264</v>
      </c>
      <c r="D82" s="5" t="s">
        <v>214</v>
      </c>
      <c r="E82" s="16">
        <v>176.234</v>
      </c>
      <c r="F82" s="7">
        <v>3.5423999999999998</v>
      </c>
      <c r="G82" s="8">
        <f t="shared" si="1"/>
        <v>624.2913216</v>
      </c>
    </row>
    <row r="83" spans="2:7" ht="12">
      <c r="B83" s="4">
        <v>77</v>
      </c>
      <c r="C83" s="5" t="s">
        <v>265</v>
      </c>
      <c r="D83" s="5" t="s">
        <v>231</v>
      </c>
      <c r="E83" s="16">
        <v>72.216</v>
      </c>
      <c r="F83" s="7">
        <v>178.35</v>
      </c>
      <c r="G83" s="8">
        <f t="shared" si="1"/>
        <v>12879.7236</v>
      </c>
    </row>
    <row r="84" spans="2:7" ht="12">
      <c r="B84" s="4">
        <v>78</v>
      </c>
      <c r="C84" s="5" t="s">
        <v>266</v>
      </c>
      <c r="D84" s="5" t="s">
        <v>231</v>
      </c>
      <c r="E84" s="16">
        <v>2.0592</v>
      </c>
      <c r="F84" s="7">
        <v>35.854499999999994</v>
      </c>
      <c r="G84" s="8">
        <f t="shared" si="1"/>
        <v>73.83158639999999</v>
      </c>
    </row>
    <row r="85" spans="2:7" ht="12">
      <c r="B85" s="4">
        <v>79</v>
      </c>
      <c r="C85" s="5" t="s">
        <v>267</v>
      </c>
      <c r="D85" s="5" t="s">
        <v>214</v>
      </c>
      <c r="E85" s="16">
        <v>1.65</v>
      </c>
      <c r="F85" s="7">
        <v>7.1709</v>
      </c>
      <c r="G85" s="8">
        <f t="shared" si="1"/>
        <v>11.831985</v>
      </c>
    </row>
    <row r="86" spans="2:7" ht="12">
      <c r="B86" s="4">
        <v>80</v>
      </c>
      <c r="C86" s="5" t="s">
        <v>268</v>
      </c>
      <c r="D86" s="5" t="s">
        <v>214</v>
      </c>
      <c r="E86" s="16">
        <v>5</v>
      </c>
      <c r="F86" s="7">
        <v>67.01039999999999</v>
      </c>
      <c r="G86" s="8">
        <f t="shared" si="1"/>
        <v>335.05199999999996</v>
      </c>
    </row>
    <row r="87" spans="2:7" ht="12">
      <c r="B87" s="4">
        <v>81</v>
      </c>
      <c r="C87" s="5" t="s">
        <v>269</v>
      </c>
      <c r="D87" s="5" t="s">
        <v>270</v>
      </c>
      <c r="E87" s="16">
        <v>11.3</v>
      </c>
      <c r="F87" s="7">
        <v>61.86899999999999</v>
      </c>
      <c r="G87" s="8">
        <f t="shared" si="1"/>
        <v>699.1197</v>
      </c>
    </row>
    <row r="88" spans="2:7" ht="12">
      <c r="B88" s="4">
        <v>82</v>
      </c>
      <c r="C88" s="5" t="s">
        <v>271</v>
      </c>
      <c r="D88" s="5" t="s">
        <v>224</v>
      </c>
      <c r="E88" s="16">
        <v>3.5E-05</v>
      </c>
      <c r="F88" s="7">
        <v>37527.3</v>
      </c>
      <c r="G88" s="8">
        <f t="shared" si="1"/>
        <v>1.3134554999999999</v>
      </c>
    </row>
    <row r="89" spans="2:7" ht="12">
      <c r="B89" s="4">
        <v>83</v>
      </c>
      <c r="C89" s="5" t="s">
        <v>272</v>
      </c>
      <c r="D89" s="5" t="s">
        <v>231</v>
      </c>
      <c r="E89" s="16">
        <v>1.054</v>
      </c>
      <c r="F89" s="7">
        <v>111.1428</v>
      </c>
      <c r="G89" s="8">
        <f t="shared" si="1"/>
        <v>117.1445112</v>
      </c>
    </row>
    <row r="90" spans="2:7" ht="12">
      <c r="B90" s="4">
        <v>84</v>
      </c>
      <c r="C90" s="5" t="s">
        <v>273</v>
      </c>
      <c r="D90" s="5" t="s">
        <v>231</v>
      </c>
      <c r="E90" s="16">
        <v>0.035</v>
      </c>
      <c r="F90" s="7">
        <v>61.167899999999996</v>
      </c>
      <c r="G90" s="8">
        <f t="shared" si="1"/>
        <v>2.1408765</v>
      </c>
    </row>
    <row r="91" spans="2:7" ht="12">
      <c r="B91" s="4">
        <v>85</v>
      </c>
      <c r="C91" s="5" t="s">
        <v>274</v>
      </c>
      <c r="D91" s="5" t="s">
        <v>214</v>
      </c>
      <c r="E91" s="16">
        <v>30</v>
      </c>
      <c r="F91" s="7">
        <v>234.86849999999998</v>
      </c>
      <c r="G91" s="8">
        <f t="shared" si="1"/>
        <v>7046.054999999999</v>
      </c>
    </row>
    <row r="92" spans="2:7" ht="12">
      <c r="B92" s="4">
        <v>86</v>
      </c>
      <c r="C92" s="5" t="s">
        <v>275</v>
      </c>
      <c r="D92" s="5" t="s">
        <v>214</v>
      </c>
      <c r="E92" s="16">
        <v>180</v>
      </c>
      <c r="F92" s="7">
        <v>23.7636</v>
      </c>
      <c r="G92" s="8">
        <f t="shared" si="1"/>
        <v>4277.448</v>
      </c>
    </row>
    <row r="93" spans="2:7" ht="12">
      <c r="B93" s="4">
        <v>87</v>
      </c>
      <c r="C93" s="5" t="s">
        <v>276</v>
      </c>
      <c r="D93" s="5" t="s">
        <v>224</v>
      </c>
      <c r="E93" s="16">
        <v>0.6</v>
      </c>
      <c r="F93" s="7">
        <v>46803.8247</v>
      </c>
      <c r="G93" s="8">
        <f t="shared" si="1"/>
        <v>28082.29482</v>
      </c>
    </row>
    <row r="94" spans="2:7" ht="12">
      <c r="B94" s="4">
        <v>88</v>
      </c>
      <c r="C94" s="5" t="s">
        <v>277</v>
      </c>
      <c r="D94" s="5" t="s">
        <v>214</v>
      </c>
      <c r="E94" s="16">
        <v>20</v>
      </c>
      <c r="F94" s="7">
        <v>16.9617</v>
      </c>
      <c r="G94" s="8">
        <f t="shared" si="1"/>
        <v>339.23400000000004</v>
      </c>
    </row>
    <row r="95" spans="2:7" ht="12">
      <c r="B95" s="4">
        <v>89</v>
      </c>
      <c r="C95" s="5" t="s">
        <v>278</v>
      </c>
      <c r="D95" s="5" t="s">
        <v>214</v>
      </c>
      <c r="E95" s="16">
        <v>5</v>
      </c>
      <c r="F95" s="7">
        <v>24.3786</v>
      </c>
      <c r="G95" s="8">
        <f t="shared" si="1"/>
        <v>121.893</v>
      </c>
    </row>
    <row r="96" spans="2:7" ht="12">
      <c r="B96" s="4">
        <v>90</v>
      </c>
      <c r="C96" s="5" t="s">
        <v>279</v>
      </c>
      <c r="D96" s="5" t="s">
        <v>214</v>
      </c>
      <c r="E96" s="16">
        <v>20</v>
      </c>
      <c r="F96" s="7">
        <v>884.247</v>
      </c>
      <c r="G96" s="8">
        <f t="shared" si="1"/>
        <v>17684.94</v>
      </c>
    </row>
    <row r="97" spans="2:7" ht="12">
      <c r="B97" s="4">
        <v>91</v>
      </c>
      <c r="C97" s="5" t="s">
        <v>280</v>
      </c>
      <c r="D97" s="5" t="s">
        <v>281</v>
      </c>
      <c r="E97" s="16">
        <v>1</v>
      </c>
      <c r="F97" s="7">
        <v>5164.142699999999</v>
      </c>
      <c r="G97" s="8">
        <f t="shared" si="1"/>
        <v>5164.142699999999</v>
      </c>
    </row>
    <row r="98" spans="2:7" ht="36">
      <c r="B98" s="4">
        <v>92</v>
      </c>
      <c r="C98" s="5" t="s">
        <v>282</v>
      </c>
      <c r="D98" s="5" t="s">
        <v>283</v>
      </c>
      <c r="E98" s="16">
        <v>0.051</v>
      </c>
      <c r="F98" s="7">
        <v>8280.1632</v>
      </c>
      <c r="G98" s="8">
        <f t="shared" si="1"/>
        <v>422.28832320000004</v>
      </c>
    </row>
    <row r="99" spans="2:7" ht="12">
      <c r="B99" s="4">
        <v>93</v>
      </c>
      <c r="C99" s="5" t="s">
        <v>284</v>
      </c>
      <c r="D99" s="5" t="s">
        <v>224</v>
      </c>
      <c r="E99" s="16">
        <v>7E-05</v>
      </c>
      <c r="F99" s="7">
        <v>43632.921599999994</v>
      </c>
      <c r="G99" s="8">
        <f t="shared" si="1"/>
        <v>3.0543045119999994</v>
      </c>
    </row>
    <row r="100" spans="2:7" ht="24">
      <c r="B100" s="4">
        <v>94</v>
      </c>
      <c r="C100" s="5" t="s">
        <v>285</v>
      </c>
      <c r="D100" s="5" t="s">
        <v>224</v>
      </c>
      <c r="E100" s="16">
        <v>0.00032</v>
      </c>
      <c r="F100" s="7">
        <v>44424.3774</v>
      </c>
      <c r="G100" s="8">
        <f t="shared" si="1"/>
        <v>14.215800768000001</v>
      </c>
    </row>
    <row r="101" spans="2:7" ht="24">
      <c r="B101" s="4">
        <v>95</v>
      </c>
      <c r="C101" s="5" t="s">
        <v>286</v>
      </c>
      <c r="D101" s="5" t="s">
        <v>287</v>
      </c>
      <c r="E101" s="16">
        <v>0.01</v>
      </c>
      <c r="F101" s="7">
        <v>11275.102499999999</v>
      </c>
      <c r="G101" s="8">
        <f aca="true" t="shared" si="2" ref="G101:G129">E101*F101</f>
        <v>112.751025</v>
      </c>
    </row>
    <row r="102" spans="2:7" ht="24">
      <c r="B102" s="4">
        <v>96</v>
      </c>
      <c r="C102" s="5" t="s">
        <v>288</v>
      </c>
      <c r="D102" s="5" t="s">
        <v>287</v>
      </c>
      <c r="E102" s="16">
        <v>0.29</v>
      </c>
      <c r="F102" s="7">
        <v>74051.412</v>
      </c>
      <c r="G102" s="8">
        <f t="shared" si="2"/>
        <v>21474.90948</v>
      </c>
    </row>
    <row r="103" spans="2:7" ht="12">
      <c r="B103" s="4">
        <v>97</v>
      </c>
      <c r="C103" s="5" t="s">
        <v>289</v>
      </c>
      <c r="D103" s="5" t="s">
        <v>287</v>
      </c>
      <c r="E103" s="16">
        <v>0.01</v>
      </c>
      <c r="F103" s="7">
        <v>18465.0552</v>
      </c>
      <c r="G103" s="8">
        <f t="shared" si="2"/>
        <v>184.650552</v>
      </c>
    </row>
    <row r="104" spans="2:7" ht="12">
      <c r="B104" s="4">
        <v>98</v>
      </c>
      <c r="C104" s="5" t="s">
        <v>290</v>
      </c>
      <c r="D104" s="5" t="s">
        <v>287</v>
      </c>
      <c r="E104" s="16">
        <v>0.01</v>
      </c>
      <c r="F104" s="7">
        <v>26079.8253</v>
      </c>
      <c r="G104" s="8">
        <f t="shared" si="2"/>
        <v>260.798253</v>
      </c>
    </row>
    <row r="105" spans="2:7" ht="12">
      <c r="B105" s="4">
        <v>99</v>
      </c>
      <c r="C105" s="5" t="s">
        <v>291</v>
      </c>
      <c r="D105" s="5" t="s">
        <v>224</v>
      </c>
      <c r="E105" s="16">
        <v>0.0022</v>
      </c>
      <c r="F105" s="7">
        <v>64386.920699999995</v>
      </c>
      <c r="G105" s="8">
        <f t="shared" si="2"/>
        <v>141.65122553999998</v>
      </c>
    </row>
    <row r="106" spans="2:7" ht="12">
      <c r="B106" s="4">
        <v>100</v>
      </c>
      <c r="C106" s="5" t="s">
        <v>292</v>
      </c>
      <c r="D106" s="5" t="s">
        <v>231</v>
      </c>
      <c r="E106" s="16">
        <v>10</v>
      </c>
      <c r="F106" s="7">
        <v>92.1885</v>
      </c>
      <c r="G106" s="8">
        <f t="shared" si="2"/>
        <v>921.885</v>
      </c>
    </row>
    <row r="107" spans="2:7" ht="12">
      <c r="B107" s="4">
        <v>101</v>
      </c>
      <c r="C107" s="5" t="s">
        <v>293</v>
      </c>
      <c r="D107" s="5" t="s">
        <v>214</v>
      </c>
      <c r="E107" s="16">
        <v>1</v>
      </c>
      <c r="F107" s="7">
        <v>3782.0409</v>
      </c>
      <c r="G107" s="8">
        <f t="shared" si="2"/>
        <v>3782.0409</v>
      </c>
    </row>
    <row r="108" spans="2:7" ht="12">
      <c r="B108" s="4">
        <v>102</v>
      </c>
      <c r="C108" s="5" t="s">
        <v>294</v>
      </c>
      <c r="D108" s="5" t="s">
        <v>214</v>
      </c>
      <c r="E108" s="16">
        <v>2</v>
      </c>
      <c r="F108" s="7">
        <v>139.7403</v>
      </c>
      <c r="G108" s="8">
        <f t="shared" si="2"/>
        <v>279.4806</v>
      </c>
    </row>
    <row r="109" spans="2:7" ht="12">
      <c r="B109" s="4">
        <v>103</v>
      </c>
      <c r="C109" s="5" t="s">
        <v>295</v>
      </c>
      <c r="D109" s="5" t="s">
        <v>214</v>
      </c>
      <c r="E109" s="16">
        <v>5</v>
      </c>
      <c r="F109" s="7">
        <v>74.907</v>
      </c>
      <c r="G109" s="8">
        <f t="shared" si="2"/>
        <v>374.53499999999997</v>
      </c>
    </row>
    <row r="110" spans="2:7" ht="12">
      <c r="B110" s="4">
        <v>104</v>
      </c>
      <c r="C110" s="5" t="s">
        <v>296</v>
      </c>
      <c r="D110" s="5" t="s">
        <v>214</v>
      </c>
      <c r="E110" s="16">
        <v>1</v>
      </c>
      <c r="F110" s="7">
        <v>2.3369999999999997</v>
      </c>
      <c r="G110" s="8">
        <f t="shared" si="2"/>
        <v>2.3369999999999997</v>
      </c>
    </row>
    <row r="111" spans="2:7" ht="12">
      <c r="B111" s="4">
        <v>105</v>
      </c>
      <c r="C111" s="5" t="s">
        <v>297</v>
      </c>
      <c r="D111" s="5" t="s">
        <v>214</v>
      </c>
      <c r="E111" s="16">
        <v>3.05</v>
      </c>
      <c r="F111" s="7">
        <v>21.869400000000002</v>
      </c>
      <c r="G111" s="8">
        <f t="shared" si="2"/>
        <v>66.70167000000001</v>
      </c>
    </row>
    <row r="112" spans="2:7" ht="12">
      <c r="B112" s="4">
        <v>106</v>
      </c>
      <c r="C112" s="5" t="s">
        <v>298</v>
      </c>
      <c r="D112" s="5" t="s">
        <v>224</v>
      </c>
      <c r="E112" s="16">
        <v>0.001328</v>
      </c>
      <c r="F112" s="7">
        <v>109226.9643</v>
      </c>
      <c r="G112" s="8">
        <f t="shared" si="2"/>
        <v>145.0534085904</v>
      </c>
    </row>
    <row r="113" spans="2:7" ht="12">
      <c r="B113" s="4">
        <v>107</v>
      </c>
      <c r="C113" s="5" t="s">
        <v>299</v>
      </c>
      <c r="D113" s="5" t="s">
        <v>214</v>
      </c>
      <c r="E113" s="16">
        <v>2</v>
      </c>
      <c r="F113" s="7">
        <v>2216.4969</v>
      </c>
      <c r="G113" s="8">
        <f t="shared" si="2"/>
        <v>4432.9938</v>
      </c>
    </row>
    <row r="114" spans="2:7" ht="12">
      <c r="B114" s="4">
        <v>108</v>
      </c>
      <c r="C114" s="5" t="s">
        <v>300</v>
      </c>
      <c r="D114" s="5" t="s">
        <v>224</v>
      </c>
      <c r="E114" s="16">
        <v>0.00055</v>
      </c>
      <c r="F114" s="7">
        <v>7333.4691</v>
      </c>
      <c r="G114" s="8">
        <f t="shared" si="2"/>
        <v>4.033408005</v>
      </c>
    </row>
    <row r="115" spans="2:7" ht="12">
      <c r="B115" s="4">
        <v>109</v>
      </c>
      <c r="C115" s="5" t="s">
        <v>301</v>
      </c>
      <c r="D115" s="5" t="s">
        <v>302</v>
      </c>
      <c r="E115" s="16">
        <v>18.4954</v>
      </c>
      <c r="F115" s="7">
        <v>279.4314</v>
      </c>
      <c r="G115" s="8">
        <f t="shared" si="2"/>
        <v>5168.19551556</v>
      </c>
    </row>
    <row r="116" spans="2:7" ht="12">
      <c r="B116" s="4">
        <v>110</v>
      </c>
      <c r="C116" s="5" t="s">
        <v>303</v>
      </c>
      <c r="D116" s="5" t="s">
        <v>236</v>
      </c>
      <c r="E116" s="16">
        <v>0.54</v>
      </c>
      <c r="F116" s="7">
        <v>22.017</v>
      </c>
      <c r="G116" s="8">
        <f t="shared" si="2"/>
        <v>11.88918</v>
      </c>
    </row>
    <row r="117" spans="2:7" ht="12">
      <c r="B117" s="4">
        <v>111</v>
      </c>
      <c r="C117" s="5" t="s">
        <v>304</v>
      </c>
      <c r="D117" s="5" t="s">
        <v>305</v>
      </c>
      <c r="E117" s="16">
        <v>5</v>
      </c>
      <c r="F117" s="7">
        <v>593.1306000000001</v>
      </c>
      <c r="G117" s="8">
        <f t="shared" si="2"/>
        <v>2965.6530000000002</v>
      </c>
    </row>
    <row r="118" spans="2:7" ht="12">
      <c r="B118" s="4">
        <v>112</v>
      </c>
      <c r="C118" s="5" t="s">
        <v>306</v>
      </c>
      <c r="D118" s="5" t="s">
        <v>305</v>
      </c>
      <c r="E118" s="16">
        <v>5</v>
      </c>
      <c r="F118" s="7">
        <v>764.4449999999999</v>
      </c>
      <c r="G118" s="8">
        <f t="shared" si="2"/>
        <v>3822.2249999999995</v>
      </c>
    </row>
    <row r="119" spans="2:7" ht="36">
      <c r="B119" s="4">
        <v>113</v>
      </c>
      <c r="C119" s="5" t="s">
        <v>307</v>
      </c>
      <c r="D119" s="5" t="s">
        <v>305</v>
      </c>
      <c r="E119" s="16">
        <v>10</v>
      </c>
      <c r="F119" s="7">
        <v>718.1232</v>
      </c>
      <c r="G119" s="8">
        <f t="shared" si="2"/>
        <v>7181.232</v>
      </c>
    </row>
    <row r="120" spans="2:7" ht="36">
      <c r="B120" s="4">
        <v>114</v>
      </c>
      <c r="C120" s="5" t="s">
        <v>308</v>
      </c>
      <c r="D120" s="5" t="s">
        <v>305</v>
      </c>
      <c r="E120" s="16">
        <v>20</v>
      </c>
      <c r="F120" s="7">
        <v>185.3364</v>
      </c>
      <c r="G120" s="8">
        <f t="shared" si="2"/>
        <v>3706.728</v>
      </c>
    </row>
    <row r="121" spans="2:7" ht="36">
      <c r="B121" s="4">
        <v>115</v>
      </c>
      <c r="C121" s="5" t="s">
        <v>309</v>
      </c>
      <c r="D121" s="5" t="s">
        <v>305</v>
      </c>
      <c r="E121" s="16">
        <v>10</v>
      </c>
      <c r="F121" s="7">
        <v>273.2445</v>
      </c>
      <c r="G121" s="8">
        <f t="shared" si="2"/>
        <v>2732.445</v>
      </c>
    </row>
    <row r="122" spans="2:7" ht="36">
      <c r="B122" s="4">
        <v>116</v>
      </c>
      <c r="C122" s="5" t="s">
        <v>310</v>
      </c>
      <c r="D122" s="5" t="s">
        <v>305</v>
      </c>
      <c r="E122" s="16">
        <v>10</v>
      </c>
      <c r="F122" s="7">
        <v>302.8752</v>
      </c>
      <c r="G122" s="8">
        <f t="shared" si="2"/>
        <v>3028.752</v>
      </c>
    </row>
    <row r="123" spans="2:7" ht="36">
      <c r="B123" s="4">
        <v>117</v>
      </c>
      <c r="C123" s="5" t="s">
        <v>311</v>
      </c>
      <c r="D123" s="5" t="s">
        <v>305</v>
      </c>
      <c r="E123" s="16">
        <v>10</v>
      </c>
      <c r="F123" s="7">
        <v>520.4499</v>
      </c>
      <c r="G123" s="8">
        <f t="shared" si="2"/>
        <v>5204.499</v>
      </c>
    </row>
    <row r="124" spans="2:7" ht="36">
      <c r="B124" s="4">
        <v>118</v>
      </c>
      <c r="C124" s="5" t="s">
        <v>312</v>
      </c>
      <c r="D124" s="5" t="s">
        <v>305</v>
      </c>
      <c r="E124" s="16">
        <v>10</v>
      </c>
      <c r="F124" s="7">
        <v>588.6410999999999</v>
      </c>
      <c r="G124" s="8">
        <f t="shared" si="2"/>
        <v>5886.410999999999</v>
      </c>
    </row>
    <row r="125" spans="2:7" ht="36">
      <c r="B125" s="4">
        <v>119</v>
      </c>
      <c r="C125" s="5" t="s">
        <v>313</v>
      </c>
      <c r="D125" s="5" t="s">
        <v>305</v>
      </c>
      <c r="E125" s="16">
        <v>10</v>
      </c>
      <c r="F125" s="7">
        <v>440.34</v>
      </c>
      <c r="G125" s="8">
        <f t="shared" si="2"/>
        <v>4403.4</v>
      </c>
    </row>
    <row r="126" spans="2:7" ht="24">
      <c r="B126" s="4">
        <v>120</v>
      </c>
      <c r="C126" s="5" t="s">
        <v>314</v>
      </c>
      <c r="D126" s="5" t="s">
        <v>224</v>
      </c>
      <c r="E126" s="16">
        <v>0.0012</v>
      </c>
      <c r="F126" s="7">
        <v>269316.003</v>
      </c>
      <c r="G126" s="8">
        <f t="shared" si="2"/>
        <v>323.1792036</v>
      </c>
    </row>
    <row r="127" spans="2:7" ht="12">
      <c r="B127" s="4">
        <v>121</v>
      </c>
      <c r="C127" s="5" t="s">
        <v>315</v>
      </c>
      <c r="D127" s="5" t="s">
        <v>231</v>
      </c>
      <c r="E127" s="16">
        <v>0.82</v>
      </c>
      <c r="F127" s="7">
        <v>65.6943</v>
      </c>
      <c r="G127" s="8">
        <f t="shared" si="2"/>
        <v>53.869325999999994</v>
      </c>
    </row>
    <row r="128" spans="2:7" ht="12">
      <c r="B128" s="4">
        <v>122</v>
      </c>
      <c r="C128" s="5" t="s">
        <v>316</v>
      </c>
      <c r="D128" s="5" t="s">
        <v>214</v>
      </c>
      <c r="E128" s="16">
        <v>10</v>
      </c>
      <c r="F128" s="7">
        <v>48.966300000000004</v>
      </c>
      <c r="G128" s="8">
        <f t="shared" si="2"/>
        <v>489.663</v>
      </c>
    </row>
    <row r="129" spans="2:7" ht="12">
      <c r="B129" s="4">
        <v>123</v>
      </c>
      <c r="C129" s="5" t="s">
        <v>317</v>
      </c>
      <c r="D129" s="5" t="s">
        <v>224</v>
      </c>
      <c r="E129" s="16">
        <v>0.00029</v>
      </c>
      <c r="F129" s="7">
        <v>50067.6543</v>
      </c>
      <c r="G129" s="8">
        <f t="shared" si="2"/>
        <v>14.519619747</v>
      </c>
    </row>
    <row r="130" spans="2:7" ht="12">
      <c r="B130" s="59" t="s">
        <v>173</v>
      </c>
      <c r="C130" s="60"/>
      <c r="D130" s="60"/>
      <c r="E130" s="60"/>
      <c r="F130" s="61"/>
      <c r="G130" s="9">
        <f>SUM(G37:G129)</f>
        <v>324577.40289630496</v>
      </c>
    </row>
    <row r="131" spans="2:7" ht="16.5">
      <c r="B131" s="62" t="s">
        <v>318</v>
      </c>
      <c r="C131" s="62"/>
      <c r="D131" s="62"/>
      <c r="E131" s="62"/>
      <c r="F131" s="62"/>
      <c r="G131" s="62"/>
    </row>
    <row r="132" spans="2:7" ht="12">
      <c r="B132" s="12">
        <v>124</v>
      </c>
      <c r="C132" s="13" t="s">
        <v>319</v>
      </c>
      <c r="D132" s="13" t="s">
        <v>214</v>
      </c>
      <c r="E132" s="14">
        <v>0.89945117</v>
      </c>
      <c r="F132" s="15">
        <v>102.4713</v>
      </c>
      <c r="G132" s="17">
        <f aca="true" t="shared" si="3" ref="G132:G145">E132*F132</f>
        <v>92.167930676421</v>
      </c>
    </row>
    <row r="133" spans="2:7" ht="12">
      <c r="B133" s="4">
        <v>125</v>
      </c>
      <c r="C133" s="5" t="s">
        <v>320</v>
      </c>
      <c r="D133" s="5" t="s">
        <v>214</v>
      </c>
      <c r="E133" s="16">
        <v>7.89525664</v>
      </c>
      <c r="F133" s="7">
        <v>58.4988</v>
      </c>
      <c r="G133" s="8">
        <f t="shared" si="3"/>
        <v>461.86303913203204</v>
      </c>
    </row>
    <row r="134" spans="2:7" ht="12">
      <c r="B134" s="4">
        <v>126</v>
      </c>
      <c r="C134" s="5" t="s">
        <v>321</v>
      </c>
      <c r="D134" s="5" t="s">
        <v>214</v>
      </c>
      <c r="E134" s="16">
        <v>0.002</v>
      </c>
      <c r="F134" s="7">
        <v>109.7406</v>
      </c>
      <c r="G134" s="8">
        <f t="shared" si="3"/>
        <v>0.21948120000000002</v>
      </c>
    </row>
    <row r="135" spans="2:7" ht="12">
      <c r="B135" s="4">
        <v>127</v>
      </c>
      <c r="C135" s="5" t="s">
        <v>322</v>
      </c>
      <c r="D135" s="5" t="s">
        <v>214</v>
      </c>
      <c r="E135" s="16">
        <v>0.04</v>
      </c>
      <c r="F135" s="7">
        <v>265.2618</v>
      </c>
      <c r="G135" s="8">
        <f t="shared" si="3"/>
        <v>10.610472</v>
      </c>
    </row>
    <row r="136" spans="2:7" ht="12">
      <c r="B136" s="4">
        <v>128</v>
      </c>
      <c r="C136" s="5" t="s">
        <v>323</v>
      </c>
      <c r="D136" s="5" t="s">
        <v>214</v>
      </c>
      <c r="E136" s="16">
        <v>0.331</v>
      </c>
      <c r="F136" s="7">
        <v>244.0812</v>
      </c>
      <c r="G136" s="8">
        <f t="shared" si="3"/>
        <v>80.7908772</v>
      </c>
    </row>
    <row r="137" spans="2:7" ht="12">
      <c r="B137" s="4">
        <v>129</v>
      </c>
      <c r="C137" s="5" t="s">
        <v>324</v>
      </c>
      <c r="D137" s="5" t="s">
        <v>214</v>
      </c>
      <c r="E137" s="16">
        <v>0.2108</v>
      </c>
      <c r="F137" s="7">
        <v>258.3</v>
      </c>
      <c r="G137" s="8">
        <f t="shared" si="3"/>
        <v>54.44964</v>
      </c>
    </row>
    <row r="138" spans="2:7" ht="12">
      <c r="B138" s="4">
        <v>130</v>
      </c>
      <c r="C138" s="5" t="s">
        <v>325</v>
      </c>
      <c r="D138" s="5" t="s">
        <v>214</v>
      </c>
      <c r="E138" s="16">
        <v>11.108</v>
      </c>
      <c r="F138" s="7">
        <v>65.0547</v>
      </c>
      <c r="G138" s="8">
        <f t="shared" si="3"/>
        <v>722.6276076</v>
      </c>
    </row>
    <row r="139" spans="2:7" ht="12">
      <c r="B139" s="4">
        <v>131</v>
      </c>
      <c r="C139" s="5" t="s">
        <v>326</v>
      </c>
      <c r="D139" s="5" t="s">
        <v>214</v>
      </c>
      <c r="E139" s="16">
        <v>0.0178</v>
      </c>
      <c r="F139" s="7">
        <v>178.95270000000002</v>
      </c>
      <c r="G139" s="8">
        <f t="shared" si="3"/>
        <v>3.1853580600000004</v>
      </c>
    </row>
    <row r="140" spans="2:7" ht="12">
      <c r="B140" s="4">
        <v>132</v>
      </c>
      <c r="C140" s="5" t="s">
        <v>327</v>
      </c>
      <c r="D140" s="5" t="s">
        <v>214</v>
      </c>
      <c r="E140" s="16">
        <v>0.32896599</v>
      </c>
      <c r="F140" s="7">
        <v>100.86</v>
      </c>
      <c r="G140" s="8">
        <f t="shared" si="3"/>
        <v>33.1795097514</v>
      </c>
    </row>
    <row r="141" spans="2:7" ht="12">
      <c r="B141" s="4">
        <v>133</v>
      </c>
      <c r="C141" s="5" t="s">
        <v>328</v>
      </c>
      <c r="D141" s="5" t="s">
        <v>214</v>
      </c>
      <c r="E141" s="16">
        <v>0.324</v>
      </c>
      <c r="F141" s="7">
        <v>2218.92</v>
      </c>
      <c r="G141" s="8">
        <f t="shared" si="3"/>
        <v>718.9300800000001</v>
      </c>
    </row>
    <row r="142" spans="2:7" ht="12">
      <c r="B142" s="4">
        <v>134</v>
      </c>
      <c r="C142" s="5" t="s">
        <v>329</v>
      </c>
      <c r="D142" s="5" t="s">
        <v>214</v>
      </c>
      <c r="E142" s="16">
        <v>0.94377721</v>
      </c>
      <c r="F142" s="7">
        <v>49.2</v>
      </c>
      <c r="G142" s="8">
        <f t="shared" si="3"/>
        <v>46.433838732000005</v>
      </c>
    </row>
    <row r="143" spans="2:7" ht="12">
      <c r="B143" s="4">
        <v>135</v>
      </c>
      <c r="C143" s="5" t="s">
        <v>330</v>
      </c>
      <c r="D143" s="5" t="s">
        <v>214</v>
      </c>
      <c r="E143" s="16">
        <v>0.0005</v>
      </c>
      <c r="F143" s="7">
        <v>541.2</v>
      </c>
      <c r="G143" s="8">
        <f t="shared" si="3"/>
        <v>0.2706</v>
      </c>
    </row>
    <row r="144" spans="2:7" ht="12">
      <c r="B144" s="4">
        <v>136</v>
      </c>
      <c r="C144" s="5" t="s">
        <v>331</v>
      </c>
      <c r="D144" s="5" t="s">
        <v>214</v>
      </c>
      <c r="E144" s="16">
        <v>0.95209201</v>
      </c>
      <c r="F144" s="7">
        <v>156.333</v>
      </c>
      <c r="G144" s="8">
        <f t="shared" si="3"/>
        <v>148.84340019933</v>
      </c>
    </row>
    <row r="145" spans="2:7" ht="12">
      <c r="B145" s="4">
        <v>137</v>
      </c>
      <c r="C145" s="5" t="s">
        <v>332</v>
      </c>
      <c r="D145" s="5" t="s">
        <v>214</v>
      </c>
      <c r="E145" s="16">
        <v>0.00338384</v>
      </c>
      <c r="F145" s="7">
        <v>281.3994</v>
      </c>
      <c r="G145" s="8">
        <f t="shared" si="3"/>
        <v>0.952210545696</v>
      </c>
    </row>
    <row r="146" spans="2:7" ht="12">
      <c r="B146" s="59" t="s">
        <v>173</v>
      </c>
      <c r="C146" s="60"/>
      <c r="D146" s="60"/>
      <c r="E146" s="60"/>
      <c r="F146" s="61"/>
      <c r="G146" s="9">
        <f>SUM(G132:G145)</f>
        <v>2374.5240450968786</v>
      </c>
    </row>
    <row r="147" spans="2:7" ht="16.5">
      <c r="B147" s="62" t="s">
        <v>333</v>
      </c>
      <c r="C147" s="62"/>
      <c r="D147" s="62"/>
      <c r="E147" s="62"/>
      <c r="F147" s="62"/>
      <c r="G147" s="62"/>
    </row>
    <row r="148" spans="2:7" ht="12">
      <c r="B148" s="12">
        <v>138</v>
      </c>
      <c r="C148" s="13" t="s">
        <v>334</v>
      </c>
      <c r="D148" s="13" t="s">
        <v>335</v>
      </c>
      <c r="E148" s="14">
        <v>7.5</v>
      </c>
      <c r="F148" s="15">
        <v>62.465999999999994</v>
      </c>
      <c r="G148" s="17">
        <f>E148*F148</f>
        <v>468.49499999999995</v>
      </c>
    </row>
    <row r="149" spans="2:7" ht="12">
      <c r="B149" s="4">
        <v>139</v>
      </c>
      <c r="C149" s="5" t="s">
        <v>336</v>
      </c>
      <c r="D149" s="5" t="s">
        <v>337</v>
      </c>
      <c r="E149" s="16">
        <v>0.268</v>
      </c>
      <c r="F149" s="7">
        <v>98.368</v>
      </c>
      <c r="G149" s="8">
        <f>E149*F149</f>
        <v>26.362624</v>
      </c>
    </row>
    <row r="150" spans="2:7" ht="12">
      <c r="B150" s="59" t="s">
        <v>173</v>
      </c>
      <c r="C150" s="60"/>
      <c r="D150" s="60"/>
      <c r="E150" s="60"/>
      <c r="F150" s="61"/>
      <c r="G150" s="9">
        <f>SUM(G148:G149)</f>
        <v>494.85762399999993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146:F146"/>
    <mergeCell ref="B147:G147"/>
    <mergeCell ref="B150:F150"/>
    <mergeCell ref="B1:G1"/>
    <mergeCell ref="B4:G4"/>
    <mergeCell ref="B35:F35"/>
    <mergeCell ref="B36:G36"/>
    <mergeCell ref="B130:F130"/>
    <mergeCell ref="B131:G131"/>
  </mergeCells>
  <printOptions/>
  <pageMargins left="0.35" right="0.35" top="0.35" bottom="0.35" header="0.3" footer="0.3"/>
  <pageSetup fitToHeight="0" fitToWidth="1" horizontalDpi="600" verticalDpi="600" orientation="portrait" paperSize="9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Ð¡Ð¼ÐµÑ‚Ð° Ñ€Ð°ÑÑ…Ð¾Ð´Ð¾Ð²</dc:title>
  <dc:subject>Ð¡Ð¼ÐµÑ‚Ð° Ñ€Ð°ÑÑ…Ð¾Ð´Ð¾Ð²</dc:subject>
  <dc:creator>ÐœÐšÐ”-Ñ€Ð°ÑÑ‡ÐµÑ‚. Ð¦ÐµÐ½Ñ‚Ñ€ Ð¼ÑƒÐ½Ð¸Ñ†Ð¸Ð¿Ð°Ð»ÑŒÐ½Ð¾Ð¹ ÑÐºÐ¾Ð½Ð¾Ð¼Ð¸ÐºÐ¸ Ð¸ Ð¿Ñ€Ð°Ð²Ð°</dc:creator>
  <cp:keywords>ÑÐ¼ÐµÑ‚Ð° Ñ€Ð°ÑÑ‡ÐµÑ‚ Ð¶ÐºÑ…</cp:keywords>
  <dc:description>Ð¡Ð¼ÐµÑ‚Ð° Ñ€Ð°ÑÑ…Ð¾Ð´Ð¾Ð² Ð²ÐºÐ»ÑŽÑ‡Ð°ÐµÑ‚ Ð¿ÐµÑ€ÐµÑ‡ÐµÐ½ÑŒ Ñ€Ð°Ð±Ð¾Ñ‚ Ð¸ Ð¿ÐµÑ€ÐµÑ‡ÐµÐ½ÑŒ Ñ€ÐµÑÑƒÑ€ÑÐ¾Ð²</dc:description>
  <cp:lastModifiedBy>Админ</cp:lastModifiedBy>
  <cp:lastPrinted>2015-03-30T12:16:58Z</cp:lastPrinted>
  <dcterms:created xsi:type="dcterms:W3CDTF">2015-03-30T16:07:36Z</dcterms:created>
  <dcterms:modified xsi:type="dcterms:W3CDTF">2015-03-30T13:54:27Z</dcterms:modified>
  <cp:category>Test result file</cp:category>
  <cp:version/>
  <cp:contentType/>
  <cp:contentStatus/>
</cp:coreProperties>
</file>