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<sst xmlns="http://schemas.openxmlformats.org/spreadsheetml/2006/main" count="393" uniqueCount="265">
  <si>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</si>
  <si>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</si>
  <si>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</si>
  <si>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</si>
  <si>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</si>
  <si>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</si>
  <si>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</si>
  <si>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</si>
  <si>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</si>
  <si>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</si>
  <si>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</si>
  <si>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</si>
  <si>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Осушение электрическими насосами</t>
  </si>
  <si>
    <t>100 куб.м. воды</t>
  </si>
  <si>
    <t>Замена неисправных участков электрической сети (скрытая проводка)</t>
  </si>
  <si>
    <t>100 п.м.</t>
  </si>
  <si>
    <t>Замена неисправных участков сети электрической сети (открытая проводка)</t>
  </si>
  <si>
    <t>Замена ламп накаливания</t>
  </si>
  <si>
    <t>100 шт.</t>
  </si>
  <si>
    <t>Замена выключателей</t>
  </si>
  <si>
    <t>Замена патронов</t>
  </si>
  <si>
    <t>Восстановление (ремонт) вводов инженерных коммуникаций   в подвальные  помещения  через  фундаменты</t>
  </si>
  <si>
    <t>Прочистка засоренных вентиляционных каналов</t>
  </si>
  <si>
    <t>10 м канала</t>
  </si>
  <si>
    <t>Смена дверных петель при одной сменяемой петле в полотне</t>
  </si>
  <si>
    <t>10 петель</t>
  </si>
  <si>
    <t>Смена дверных петель при двух сменяемых петлях в полотне</t>
  </si>
  <si>
    <t>Смена отдельных участков трубопроводов водоснабжения из стальных водогазопроводных оцинкованных труб диаметром  25 мм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</si>
  <si>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</si>
  <si>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80 мм</t>
  </si>
  <si>
    <t>100 мест</t>
  </si>
  <si>
    <t>Временная заделка свищей и трещин на внутренних трубопроводах и стояках при диаметре трубопровода до 100 мм</t>
  </si>
  <si>
    <t>Замена прибора учета воды с фильтром</t>
  </si>
  <si>
    <t>Счетчик воды</t>
  </si>
  <si>
    <t>Смена вентилей и клапанов обратных муфтовых диаметром до 32  мм</t>
  </si>
  <si>
    <t>Замена реле</t>
  </si>
  <si>
    <t>1 реле</t>
  </si>
  <si>
    <t>Замена предохранителя</t>
  </si>
  <si>
    <t>1 предохранитель</t>
  </si>
  <si>
    <t>Замена рубильника</t>
  </si>
  <si>
    <t>1 рубильник</t>
  </si>
  <si>
    <t>Обслуживание извещателя пожарного ручного</t>
  </si>
  <si>
    <t>1 оборудование</t>
  </si>
  <si>
    <t>Замена трехфазного счетчика (прибора учета) электрической энергии прямого включения</t>
  </si>
  <si>
    <t xml:space="preserve">1 прибор учета </t>
  </si>
  <si>
    <t>Замена выключателя</t>
  </si>
  <si>
    <t>1 выключатель</t>
  </si>
  <si>
    <t>Утепление и прочистка дымовентиляционных каналов</t>
  </si>
  <si>
    <t>1000 м2  общей площади жилых помещений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</si>
  <si>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</si>
  <si>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</si>
  <si>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</si>
  <si>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</si>
  <si>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</si>
  <si>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</si>
  <si>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</si>
  <si>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внутренней отделки стен</t>
  </si>
  <si>
    <t>Осмотр всех элементов кровель из штучных материалов,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</si>
  <si>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</si>
  <si>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</si>
  <si>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</si>
  <si>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</si>
  <si>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</si>
  <si>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Проверка наличия тяги в  дымовентиляционных каналах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</si>
  <si>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</si>
  <si>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</si>
  <si>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</si>
  <si>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</si>
  <si>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Консервация/расконсервация системы отопления</t>
  </si>
  <si>
    <t>100 м трубопровода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</si>
  <si>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</si>
  <si>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</si>
  <si>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</si>
  <si>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</si>
  <si>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</si>
  <si>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100 радиаторных блоков</t>
  </si>
  <si>
    <t>Ремонт кранов регулировки у радиаторных блоков</t>
  </si>
  <si>
    <t>100 кранов</t>
  </si>
  <si>
    <t>Мелкий ремонт изоляции трубопроводов при диаметре 75 мм</t>
  </si>
  <si>
    <t>Визуальный осмотр узла учета и проверка наличия и нарушения пломб</t>
  </si>
  <si>
    <t>1 прибор учета</t>
  </si>
  <si>
    <t>Снятие и запись показаний с вычислителя в журнал</t>
  </si>
  <si>
    <t>Составление акта (при нарушении правил эксплуатации прибора) с представителями абонента и поставщиком</t>
  </si>
  <si>
    <t>Запуск воды с общего вентиля к счетчику</t>
  </si>
  <si>
    <t>При отказе или неисправной работе прибора учета - поиск неисправностей</t>
  </si>
  <si>
    <t>Проверка работоспособности водозапорной арматуры</t>
  </si>
  <si>
    <t>Профилактические работы</t>
  </si>
  <si>
    <t>1 узел учета</t>
  </si>
  <si>
    <t>Обсчет данных, оформление справок, распечатка архивов данных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</si>
  <si>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</si>
  <si>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оборудованных газовыми плитами</t>
  </si>
  <si>
    <t>Подметание в летний период  земельного участка без покрытия 1 класса</t>
  </si>
  <si>
    <t>1 000 кв.м. территории</t>
  </si>
  <si>
    <t>Сдвижка и подметание снега при отсутствии снегопада на придомовой территории без покрытия 1 класса</t>
  </si>
  <si>
    <t>10 000 кв.м. территории</t>
  </si>
  <si>
    <t>Сдвижка и подметание снега при снегопаде на придомовой территории без покрытия 1 класса</t>
  </si>
  <si>
    <t>Очистка кровли от снега, сбивание сосулек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</si>
  <si>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</si>
  <si>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</si>
  <si>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</si>
  <si>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</si>
  <si>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</si>
  <si>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</si>
  <si>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Уборка мусора на  контейнерных  площадках</t>
  </si>
  <si>
    <t>на 100 кв.м.</t>
  </si>
  <si>
    <t>ИТОГО: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</si>
  <si>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</si>
  <si>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</si>
  <si>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</si>
  <si>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</si>
  <si>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</si>
  <si>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</si>
  <si>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</si>
  <si>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</si>
  <si>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</si>
  <si>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</si>
  <si>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Дворник 1 разряда</t>
  </si>
  <si>
    <t>Изолировщик на термоизоляции 4 разряда</t>
  </si>
  <si>
    <t>Каменщик 3 разряда</t>
  </si>
  <si>
    <t>Контролер водопроводного хозяйства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</si>
  <si>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</si>
  <si>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</si>
  <si>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</si>
  <si>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</si>
  <si>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7 разряда</t>
  </si>
  <si>
    <t>Плотник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</si>
  <si>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</si>
  <si>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</si>
  <si>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</si>
  <si>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</si>
  <si>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чел/час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</si>
  <si>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</si>
  <si>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</si>
  <si>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</si>
  <si>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</si>
  <si>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</si>
  <si>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</si>
  <si>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</si>
  <si>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</si>
  <si>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</si>
  <si>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Столяр строительный 3 разряда</t>
  </si>
  <si>
    <t>Столяр строительный 4 разряда</t>
  </si>
  <si>
    <t>Чистильщик дымоходов, боровок и топок 4 разряда</t>
  </si>
  <si>
    <t>Штукатур 3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</si>
  <si>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</si>
  <si>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</si>
  <si>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</si>
  <si>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</si>
  <si>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</si>
  <si>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</si>
  <si>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Материальные ресурсы</t>
  </si>
  <si>
    <t>Арматура муфтовая оцинкованная к трубопроводам диаметром 25 мм</t>
  </si>
  <si>
    <t>шт.</t>
  </si>
  <si>
    <t>Арматура муфтовая оцинкованная к трубопроводам диаметром 80 мм</t>
  </si>
  <si>
    <t xml:space="preserve">Асфальт литой (жесткий) для покрытий тротуаров </t>
  </si>
  <si>
    <t>т</t>
  </si>
  <si>
    <t>Ацетилен газообразный технический</t>
  </si>
  <si>
    <t>м3</t>
  </si>
  <si>
    <t>Ацетон технический, сорт первый</t>
  </si>
  <si>
    <t>Битумы нефтяные строительные марки БН-90/10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</si>
  <si>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</si>
  <si>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</si>
  <si>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Вентиль обратный муфтовый диаметром до 32 мм</t>
  </si>
  <si>
    <t>Ветошь</t>
  </si>
  <si>
    <t>кг</t>
  </si>
  <si>
    <t>Винты самонарезающие СМ1-35</t>
  </si>
  <si>
    <t>Вода водопроводная</t>
  </si>
  <si>
    <t>Войлок строительный толщиной 15 мм</t>
  </si>
  <si>
    <t>м2</t>
  </si>
  <si>
    <t>Втулка полиэтиленовая изолирующая</t>
  </si>
  <si>
    <t>Выключатель одноклавишный</t>
  </si>
  <si>
    <t>Герметик У-30М</t>
  </si>
  <si>
    <t>Гипсовые вяжущие Г-3</t>
  </si>
  <si>
    <t>Дюбели с калиброванной головкой (в обоймах) с цинковым хроматированным покрытием 3х78.5 мм</t>
  </si>
  <si>
    <t>Замазка белильная</t>
  </si>
  <si>
    <t>Замазка защитная</t>
  </si>
  <si>
    <t>Замазка оконная на олифе</t>
  </si>
  <si>
    <t>Замки накладные с засовом и защелкой</t>
  </si>
  <si>
    <t>Известь строительная негашеная хлорная марки А</t>
  </si>
  <si>
    <t>Кислород технический газообразный</t>
  </si>
  <si>
    <t xml:space="preserve">Кольцо уплотнительное (хомут) </t>
  </si>
  <si>
    <t>Кран шаровой В-В размером 1"</t>
  </si>
  <si>
    <t>Краски масляные земляные  МА-0115: мумия, сурик  железный</t>
  </si>
  <si>
    <t>Крепления для трубопроводов: кронштейны, планки, хомуты</t>
  </si>
  <si>
    <t>Лампа накаливания газопольная в прозрачной колбе МО 40-60</t>
  </si>
  <si>
    <t>10 шт.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</si>
  <si>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</si>
  <si>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</si>
  <si>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 xml:space="preserve">Масло минеральное </t>
  </si>
  <si>
    <t>Мастика битумно-резиновая</t>
  </si>
  <si>
    <t>Мешки полиэтиленовые, 60 л</t>
  </si>
  <si>
    <t>Накладка резиновая эластичная</t>
  </si>
  <si>
    <t>Ниппель размером 1</t>
  </si>
  <si>
    <t>Олифа комбинированная К-3</t>
  </si>
  <si>
    <t>Олифа натуральная</t>
  </si>
  <si>
    <t>Очес льняной</t>
  </si>
  <si>
    <t>Пакля пропитанная</t>
  </si>
  <si>
    <t>Патроны потолочные</t>
  </si>
  <si>
    <t>Переходник H-В размером 1"</t>
  </si>
  <si>
    <t>Петля врезная</t>
  </si>
  <si>
    <t>Предохранители плавкие</t>
  </si>
  <si>
    <t>Прибор учета (счетчик) электрической энергии</t>
  </si>
  <si>
    <t>компл.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</si>
  <si>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</si>
  <si>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>1000 пог.м.</t>
  </si>
  <si>
    <t>Проволока стальная низкоуглеродистая разного  назначения оцинкованная диаметром 1,1 мм</t>
  </si>
  <si>
    <t>Прокладки из паронита марки ПМБ, толщиной 3 мм диаметром 300 мм</t>
  </si>
  <si>
    <t>1000 шт.</t>
  </si>
  <si>
    <t>Раствор готовый отделочный тяжелый, цементный 1:2</t>
  </si>
  <si>
    <t>Растворы кладочные тяжелые известковые марки 10</t>
  </si>
  <si>
    <t>Реле времени</t>
  </si>
  <si>
    <t>Рубильник</t>
  </si>
  <si>
    <t>Ручка-скоба из алюминиевого  сплава анодированная</t>
  </si>
  <si>
    <t xml:space="preserve">Сжим ответвительный </t>
  </si>
  <si>
    <t>Скобы металлические</t>
  </si>
  <si>
    <t>Соединительные детали "Vestol" размером 1"</t>
  </si>
  <si>
    <t>Стекло листовое площадью до 1.0 м2, 1 группы, толщиной 3 мм марки М1</t>
  </si>
  <si>
    <t>Сурик свинцовый тертый</t>
  </si>
  <si>
    <t>Счетчик воды ETWI с импульсным выходом диаметром до 15-20 мм</t>
  </si>
  <si>
    <t>Тальк молотый I сорта</t>
  </si>
  <si>
    <t>Ткань мешочная</t>
  </si>
  <si>
    <t>10 м2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</si>
  <si>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</si>
  <si>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</si>
  <si>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</si>
  <si>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</si>
  <si>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</si>
  <si>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</si>
  <si>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</si>
  <si>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Угольник H-В размером 1"</t>
  </si>
  <si>
    <t>Фиксатор пластмассовый ординарный для металлополимерных труб размером 1"</t>
  </si>
  <si>
    <t>Шнур асбестовый общего назначения, марки ШАОН диаметром 10.0 мм</t>
  </si>
  <si>
    <t>Шпагат бумажный влагопрочный одножильный 3,7 мм</t>
  </si>
  <si>
    <t>Штапики</t>
  </si>
  <si>
    <t>Специнвентарь</t>
  </si>
  <si>
    <t>Лопата совковая</t>
  </si>
  <si>
    <t>Лопата штыковая</t>
  </si>
  <si>
    <t>Метла березовая</t>
  </si>
  <si>
    <t>Скребок-ледоруб</t>
  </si>
  <si>
    <t>Тележка</t>
  </si>
  <si>
    <t>Машины/Механизмы</t>
  </si>
  <si>
    <t>Насосы мощностью 4 кВт</t>
  </si>
  <si>
    <t>маш.-час.</t>
  </si>
  <si>
    <t xml:space="preserve">Смета расходов по содержанию и ремонту общего имущества собственников помещений в многоквартирном доме, расположенном по адресу: г. Энгельс, ул. Трудовая, 8. </t>
  </si>
  <si>
    <t>Общая площадь  жилых помещений 546,1 м2</t>
  </si>
  <si>
    <t>Стоимость в год (в ценах на март 2014 года) руб.</t>
  </si>
  <si>
    <t>Стоимость в год (в ценах на март 2015 года) руб.</t>
  </si>
  <si>
    <t xml:space="preserve">Стоимость на 1 кв.м. общей площади помещений (рублей в месяц) в ценах 2015г </t>
  </si>
  <si>
    <t>Итого собственные работы</t>
  </si>
  <si>
    <t>Затраты по заключенным договорам со специализированными организациями</t>
  </si>
  <si>
    <t>Вывоз и захоронение ТБО</t>
  </si>
  <si>
    <t>1 м2 жилых помещений</t>
  </si>
  <si>
    <t>Стоимость услуги, оказываемой ООО "Чистота" по вывозу и захоронению ТБО от населения в г. Энгельс с 1 апреля по 31 декабря 2015 г</t>
  </si>
  <si>
    <t>Дератизация</t>
  </si>
  <si>
    <t>Договор №1215 на оказание услуг по медицинской дезинфекции, дезинсекции и дератизации с ФБУЗ "Центр гигиены и эпидемиологии в Саратовской области" от 27.11.2014г</t>
  </si>
  <si>
    <t>Техническое и аварийное обслуживание водопровода</t>
  </si>
  <si>
    <t>Договор №477-12 на техническое обслуживание</t>
  </si>
  <si>
    <t>Итого</t>
  </si>
  <si>
    <t>Сумма по всем статьям затрат</t>
  </si>
  <si>
    <t>Откачка жидких отходов/фекалий из общественного туалета с использованием ассенизатора (в объеме 9 куб.м. 1 раз в год)</t>
  </si>
  <si>
    <t>Прейскурант цен на дополнительные услуги, работы, оказываемые МУП "Энгельс-Водоканал" заказчикам (применять с 1.01.2015г)</t>
  </si>
  <si>
    <t>Обслуживание кассового аппарата</t>
  </si>
  <si>
    <t>Договор №3192 на техническое обслуживание кассовых аппаратов от 15 июня 2010 года, счет №48566 от 1 сентября 2014г на оплату замены блока ЭКЛЗ и установку марки-пломбы (1 раз в год), счет №52108 от 02 февраля 2015г на оплату техобслуживания ККМ за месяц, счет №51129 от 3 декабря 2014г на установку сервисного обслуживания 2015г</t>
  </si>
  <si>
    <t>Разработка раздела УК на сайте ЖК "Пляж" с управлением</t>
  </si>
  <si>
    <t>Акт №38 от 27 февраля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</si>
</sst>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11"/>
      <color indexed="10"/>
      <name val="Courier"/>
      <family val="0"/>
    </font>
    <font>
      <b/>
      <sz val="11"/>
      <color indexed="10"/>
      <name val="Arial"/>
      <family val="0"/>
    </font>
    <font>
      <b/>
      <sz val="12"/>
      <color indexed="10"/>
      <name val="Courier"/>
      <family val="0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/>
      <protection/>
    </xf>
    <xf numFmtId="4" fontId="0" fillId="0" borderId="16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ill="1" applyBorder="1" applyAlignment="1" applyProtection="1">
      <alignment/>
      <protection/>
    </xf>
    <xf numFmtId="4" fontId="8" fillId="0" borderId="1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/>
      <protection/>
    </xf>
    <xf numFmtId="4" fontId="0" fillId="34" borderId="16" xfId="0" applyNumberForma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4" fontId="8" fillId="12" borderId="16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34" borderId="22" xfId="0" applyFont="1" applyFill="1" applyBorder="1" applyAlignment="1" applyProtection="1">
      <alignment horizontal="left" vertical="center" wrapText="1"/>
      <protection/>
    </xf>
    <xf numFmtId="0" fontId="8" fillId="12" borderId="23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left" vertical="center" wrapText="1"/>
      <protection/>
    </xf>
    <xf numFmtId="0" fontId="0" fillId="35" borderId="38" xfId="0" applyFill="1" applyBorder="1" applyAlignment="1" applyProtection="1">
      <alignment horizontal="right" vertical="center"/>
      <protection/>
    </xf>
    <xf numFmtId="4" fontId="0" fillId="35" borderId="38" xfId="0" applyNumberFormat="1" applyFill="1" applyBorder="1" applyAlignment="1" applyProtection="1">
      <alignment horizontal="right" vertical="center"/>
      <protection/>
    </xf>
    <xf numFmtId="4" fontId="0" fillId="35" borderId="39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left" vertical="center" wrapText="1"/>
      <protection/>
    </xf>
    <xf numFmtId="0" fontId="0" fillId="35" borderId="13" xfId="0" applyFill="1" applyBorder="1" applyAlignment="1" applyProtection="1">
      <alignment horizontal="right" vertical="center"/>
      <protection/>
    </xf>
    <xf numFmtId="4" fontId="0" fillId="35" borderId="13" xfId="0" applyNumberFormat="1" applyFill="1" applyBorder="1" applyAlignment="1" applyProtection="1">
      <alignment horizontal="right" vertical="center"/>
      <protection/>
    </xf>
    <xf numFmtId="4" fontId="0" fillId="35" borderId="40" xfId="0" applyNumberFormat="1" applyFill="1" applyBorder="1" applyAlignment="1" applyProtection="1">
      <alignment horizontal="right" vertical="center"/>
      <protection/>
    </xf>
    <xf numFmtId="0" fontId="4" fillId="35" borderId="41" xfId="0" applyFont="1" applyFill="1" applyBorder="1" applyAlignment="1" applyProtection="1">
      <alignment horizontal="left" vertical="center"/>
      <protection/>
    </xf>
    <xf numFmtId="0" fontId="4" fillId="35" borderId="42" xfId="0" applyFont="1" applyFill="1" applyBorder="1" applyAlignment="1" applyProtection="1">
      <alignment horizontal="left" vertical="center"/>
      <protection/>
    </xf>
    <xf numFmtId="4" fontId="4" fillId="35" borderId="42" xfId="0" applyNumberFormat="1" applyFont="1" applyFill="1" applyBorder="1" applyAlignment="1" applyProtection="1">
      <alignment horizontal="left" vertical="center"/>
      <protection/>
    </xf>
    <xf numFmtId="4" fontId="4" fillId="35" borderId="43" xfId="0" applyNumberFormat="1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B55">
      <selection activeCell="N69" sqref="N6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3.8515625" style="0" customWidth="1"/>
    <col min="15" max="15" width="16.28125" style="0" customWidth="1"/>
  </cols>
  <sheetData>
    <row r="1" spans="2:14" ht="27.75" customHeight="1">
      <c r="B1" s="37" t="s">
        <v>243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52"/>
      <c r="N1" s="12" t="s">
        <v>244</v>
      </c>
    </row>
    <row r="2" spans="2:14" ht="12.75" thickBo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12"/>
    </row>
    <row r="3" spans="1:15" ht="117" customHeight="1" thickBot="1">
      <c r="A3" s="1"/>
      <c r="B3" s="8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13" t="s">
        <v>10</v>
      </c>
      <c r="M3" s="19" t="s">
        <v>245</v>
      </c>
      <c r="N3" s="19" t="s">
        <v>246</v>
      </c>
      <c r="O3" s="19" t="s">
        <v>247</v>
      </c>
    </row>
    <row r="4" spans="2:15" ht="12">
      <c r="B4" s="4">
        <v>1</v>
      </c>
      <c r="C4" s="5" t="s">
        <v>12</v>
      </c>
      <c r="D4" s="5" t="s">
        <v>13</v>
      </c>
      <c r="E4" s="6">
        <v>0.1</v>
      </c>
      <c r="F4" s="6">
        <v>1</v>
      </c>
      <c r="G4" s="7">
        <f>748.4862*E4*F4</f>
        <v>74.84862000000001</v>
      </c>
      <c r="H4" s="7">
        <f>0*E4*F4</f>
        <v>0</v>
      </c>
      <c r="I4" s="7">
        <f>131.81312*E4*F4</f>
        <v>13.181312</v>
      </c>
      <c r="J4" s="7">
        <f>770.619651648*E4*F4</f>
        <v>77.0619651648</v>
      </c>
      <c r="K4" s="7">
        <f>173.34649202304*E4*F4</f>
        <v>17.334649202304004</v>
      </c>
      <c r="L4" s="14">
        <f>161.8948848*E4*F4</f>
        <v>16.18948848</v>
      </c>
      <c r="M4" s="17">
        <f aca="true" t="shared" si="0" ref="M4:M29">SUM(G4:L4)</f>
        <v>198.616034847104</v>
      </c>
      <c r="N4" s="20">
        <f>M4*1.155</f>
        <v>229.40152024840512</v>
      </c>
      <c r="O4" s="21">
        <f>N4/546.1/12</f>
        <v>0.03500603067942457</v>
      </c>
    </row>
    <row r="5" spans="2:15" ht="24">
      <c r="B5" s="4">
        <v>2</v>
      </c>
      <c r="C5" s="5" t="s">
        <v>14</v>
      </c>
      <c r="D5" s="5" t="s">
        <v>15</v>
      </c>
      <c r="E5" s="6">
        <v>0.03</v>
      </c>
      <c r="F5" s="6">
        <v>1</v>
      </c>
      <c r="G5" s="7">
        <f>2518.719588*E5*F5</f>
        <v>75.56158764</v>
      </c>
      <c r="H5" s="7">
        <f>3862.72406241*E5*F5</f>
        <v>115.88172187229999</v>
      </c>
      <c r="I5" s="7">
        <f aca="true" t="shared" si="1" ref="I5:I30">0*E5*F5</f>
        <v>0</v>
      </c>
      <c r="J5" s="7">
        <f>2397.821047776*E5*F5</f>
        <v>71.93463143327999</v>
      </c>
      <c r="K5" s="7">
        <f>921.82279330953*E5*F5</f>
        <v>27.6546837992859</v>
      </c>
      <c r="L5" s="14">
        <f>503.7439176*E5*F5</f>
        <v>15.112317527999998</v>
      </c>
      <c r="M5" s="17">
        <f t="shared" si="0"/>
        <v>306.14494227286593</v>
      </c>
      <c r="N5" s="20">
        <f aca="true" t="shared" si="2" ref="N5:N60">M5*1.155</f>
        <v>353.5974083251602</v>
      </c>
      <c r="O5" s="21">
        <f aca="true" t="shared" si="3" ref="O5:O60">N5/546.1/12</f>
        <v>0.05395797600029911</v>
      </c>
    </row>
    <row r="6" spans="2:15" ht="24">
      <c r="B6" s="4">
        <v>3</v>
      </c>
      <c r="C6" s="5" t="s">
        <v>16</v>
      </c>
      <c r="D6" s="5" t="s">
        <v>15</v>
      </c>
      <c r="E6" s="6">
        <v>0.03</v>
      </c>
      <c r="F6" s="6">
        <v>1</v>
      </c>
      <c r="G6" s="7">
        <f>2545.613994*E6*F6</f>
        <v>76.36841981999999</v>
      </c>
      <c r="H6" s="7">
        <f>3862.72406241*E6*F6</f>
        <v>115.88172187229999</v>
      </c>
      <c r="I6" s="7">
        <f t="shared" si="1"/>
        <v>0</v>
      </c>
      <c r="J6" s="7">
        <f>2423.424522288*E6*F6</f>
        <v>72.70273566863999</v>
      </c>
      <c r="K6" s="7">
        <f>927.33507076329*E6*F6</f>
        <v>27.820052122898698</v>
      </c>
      <c r="L6" s="14">
        <f>509.1227988*E6*F6</f>
        <v>15.273683964</v>
      </c>
      <c r="M6" s="17">
        <f t="shared" si="0"/>
        <v>308.04661344783864</v>
      </c>
      <c r="N6" s="20">
        <f t="shared" si="2"/>
        <v>355.79383853225363</v>
      </c>
      <c r="O6" s="21">
        <f t="shared" si="3"/>
        <v>0.05429314510960349</v>
      </c>
    </row>
    <row r="7" spans="2:15" ht="12">
      <c r="B7" s="4">
        <v>4</v>
      </c>
      <c r="C7" s="5" t="s">
        <v>17</v>
      </c>
      <c r="D7" s="5" t="s">
        <v>18</v>
      </c>
      <c r="E7" s="6">
        <v>0.1</v>
      </c>
      <c r="F7" s="6">
        <v>1</v>
      </c>
      <c r="G7" s="7">
        <f>830.21862*E7*F7</f>
        <v>83.021862</v>
      </c>
      <c r="H7" s="7">
        <f>1916.586*E7*F7</f>
        <v>191.6586</v>
      </c>
      <c r="I7" s="7">
        <f t="shared" si="1"/>
        <v>0</v>
      </c>
      <c r="J7" s="7">
        <f>790.36812624*E7*F7</f>
        <v>79.036812624</v>
      </c>
      <c r="K7" s="7">
        <f>371.4031383552*E7*F7</f>
        <v>37.14031383552</v>
      </c>
      <c r="L7" s="14">
        <f>166.043724*E7*F7</f>
        <v>16.6043724</v>
      </c>
      <c r="M7" s="17">
        <f t="shared" si="0"/>
        <v>407.46196085952</v>
      </c>
      <c r="N7" s="20">
        <f t="shared" si="2"/>
        <v>470.6185647927456</v>
      </c>
      <c r="O7" s="21">
        <f t="shared" si="3"/>
        <v>0.0718150773351562</v>
      </c>
    </row>
    <row r="8" spans="2:15" ht="12">
      <c r="B8" s="4">
        <v>5</v>
      </c>
      <c r="C8" s="5" t="s">
        <v>19</v>
      </c>
      <c r="D8" s="5" t="s">
        <v>18</v>
      </c>
      <c r="E8" s="6">
        <v>0.1</v>
      </c>
      <c r="F8" s="6">
        <v>1</v>
      </c>
      <c r="G8" s="7">
        <f>2996.37228*E8*F8</f>
        <v>299.637228</v>
      </c>
      <c r="H8" s="7">
        <f>6284.07*E8*F8</f>
        <v>628.407</v>
      </c>
      <c r="I8" s="7">
        <f t="shared" si="1"/>
        <v>0</v>
      </c>
      <c r="J8" s="7">
        <f>2852.54641056*E8*F8</f>
        <v>285.254641056</v>
      </c>
      <c r="K8" s="7">
        <f>1273.9638125088*E8*F8</f>
        <v>127.39638125088</v>
      </c>
      <c r="L8" s="14">
        <f>599.274456*E8*F8</f>
        <v>59.9274456</v>
      </c>
      <c r="M8" s="17">
        <f t="shared" si="0"/>
        <v>1400.6226959068802</v>
      </c>
      <c r="N8" s="20">
        <f t="shared" si="2"/>
        <v>1617.7192137724467</v>
      </c>
      <c r="O8" s="21">
        <f t="shared" si="3"/>
        <v>0.24685942955692586</v>
      </c>
    </row>
    <row r="9" spans="2:15" ht="12">
      <c r="B9" s="4">
        <v>6</v>
      </c>
      <c r="C9" s="5" t="s">
        <v>20</v>
      </c>
      <c r="D9" s="5" t="s">
        <v>18</v>
      </c>
      <c r="E9" s="6">
        <v>0.05</v>
      </c>
      <c r="F9" s="6">
        <v>1</v>
      </c>
      <c r="G9" s="7">
        <f>4234.29336*E9*F9</f>
        <v>211.714668</v>
      </c>
      <c r="H9" s="7">
        <f>2376.36*E9*F9</f>
        <v>118.81800000000001</v>
      </c>
      <c r="I9" s="7">
        <f t="shared" si="1"/>
        <v>0</v>
      </c>
      <c r="J9" s="7">
        <f>4031.04727872*E9*F9</f>
        <v>201.552363936</v>
      </c>
      <c r="K9" s="7">
        <f>1117.3785670656*E9*F9</f>
        <v>55.868928353280005</v>
      </c>
      <c r="L9" s="14">
        <f>846.858672*E9*F9</f>
        <v>42.3429336</v>
      </c>
      <c r="M9" s="17">
        <f t="shared" si="0"/>
        <v>630.29689388928</v>
      </c>
      <c r="N9" s="20">
        <f t="shared" si="2"/>
        <v>727.9929124421184</v>
      </c>
      <c r="O9" s="21">
        <f t="shared" si="3"/>
        <v>0.11108968327566965</v>
      </c>
    </row>
    <row r="10" spans="2:15" ht="36">
      <c r="B10" s="4">
        <v>7</v>
      </c>
      <c r="C10" s="5" t="s">
        <v>21</v>
      </c>
      <c r="D10" s="5" t="s">
        <v>18</v>
      </c>
      <c r="E10" s="6">
        <v>0.01</v>
      </c>
      <c r="F10" s="6">
        <v>1</v>
      </c>
      <c r="G10" s="7">
        <f>7536.28029*E10*F10</f>
        <v>75.3628029</v>
      </c>
      <c r="H10" s="7">
        <f>8191.229649*E10*F10</f>
        <v>81.91229649</v>
      </c>
      <c r="I10" s="7">
        <f t="shared" si="1"/>
        <v>0</v>
      </c>
      <c r="J10" s="7">
        <f>7174.53883608*E10*F10</f>
        <v>71.74538836079999</v>
      </c>
      <c r="K10" s="7">
        <f>2404.7151213834*E10*F10</f>
        <v>24.047151213834</v>
      </c>
      <c r="L10" s="14">
        <f>1507.256058*E10*F10</f>
        <v>15.07256058</v>
      </c>
      <c r="M10" s="17">
        <f t="shared" si="0"/>
        <v>268.140199544634</v>
      </c>
      <c r="N10" s="20">
        <f t="shared" si="2"/>
        <v>309.7019304740523</v>
      </c>
      <c r="O10" s="21">
        <f t="shared" si="3"/>
        <v>0.04725964879357448</v>
      </c>
    </row>
    <row r="11" spans="2:15" ht="12">
      <c r="B11" s="4">
        <v>8</v>
      </c>
      <c r="C11" s="5" t="s">
        <v>22</v>
      </c>
      <c r="D11" s="5" t="s">
        <v>23</v>
      </c>
      <c r="E11" s="6">
        <v>0.1</v>
      </c>
      <c r="F11" s="6">
        <v>1</v>
      </c>
      <c r="G11" s="7">
        <f>210.47796*E11*F11</f>
        <v>21.047796</v>
      </c>
      <c r="H11" s="7">
        <f>97.4093703*E11*F11</f>
        <v>9.740937030000001</v>
      </c>
      <c r="I11" s="7">
        <f t="shared" si="1"/>
        <v>0</v>
      </c>
      <c r="J11" s="7">
        <f>200.37501792*E11*F11</f>
        <v>20.037501792</v>
      </c>
      <c r="K11" s="7">
        <f>53.3675465631*E11*F11</f>
        <v>5.33675465631</v>
      </c>
      <c r="L11" s="14">
        <f>42.095592*E11*F11</f>
        <v>4.2095592</v>
      </c>
      <c r="M11" s="17">
        <f t="shared" si="0"/>
        <v>60.372548678310004</v>
      </c>
      <c r="N11" s="20">
        <f t="shared" si="2"/>
        <v>69.73029372344806</v>
      </c>
      <c r="O11" s="21">
        <f t="shared" si="3"/>
        <v>0.01064064788552891</v>
      </c>
    </row>
    <row r="12" spans="2:15" ht="24">
      <c r="B12" s="4">
        <v>9</v>
      </c>
      <c r="C12" s="5" t="s">
        <v>24</v>
      </c>
      <c r="D12" s="5" t="s">
        <v>25</v>
      </c>
      <c r="E12" s="6">
        <v>0.1</v>
      </c>
      <c r="F12" s="6">
        <v>1</v>
      </c>
      <c r="G12" s="7">
        <f>712.12284*E12*F12</f>
        <v>71.212284</v>
      </c>
      <c r="H12" s="7">
        <f>197.23865367*E12*F12</f>
        <v>19.723865367000002</v>
      </c>
      <c r="I12" s="7">
        <f t="shared" si="1"/>
        <v>0</v>
      </c>
      <c r="J12" s="7">
        <f>677.94094368*E12*F12</f>
        <v>67.794094368</v>
      </c>
      <c r="K12" s="7">
        <f>166.66675592175*E12*F12</f>
        <v>16.666675592175</v>
      </c>
      <c r="L12" s="14">
        <f>142.424568*E12*F12</f>
        <v>14.2424568</v>
      </c>
      <c r="M12" s="17">
        <f t="shared" si="0"/>
        <v>189.639376127175</v>
      </c>
      <c r="N12" s="20">
        <f t="shared" si="2"/>
        <v>219.03347942688714</v>
      </c>
      <c r="O12" s="21">
        <f t="shared" si="3"/>
        <v>0.033423896634756624</v>
      </c>
    </row>
    <row r="13" spans="2:15" ht="24">
      <c r="B13" s="4">
        <v>10</v>
      </c>
      <c r="C13" s="5" t="s">
        <v>26</v>
      </c>
      <c r="D13" s="5" t="s">
        <v>25</v>
      </c>
      <c r="E13" s="6">
        <v>0.1</v>
      </c>
      <c r="F13" s="6">
        <v>1</v>
      </c>
      <c r="G13" s="7">
        <f>659.373*E13*F13</f>
        <v>65.93730000000001</v>
      </c>
      <c r="H13" s="7">
        <f>200.3077263*E13*F13</f>
        <v>20.03077263</v>
      </c>
      <c r="I13" s="7">
        <f t="shared" si="1"/>
        <v>0</v>
      </c>
      <c r="J13" s="7">
        <f>627.723096*E13*F13</f>
        <v>62.77230960000001</v>
      </c>
      <c r="K13" s="7">
        <f>156.1774013415*E13*F13</f>
        <v>15.61774013415</v>
      </c>
      <c r="L13" s="14">
        <f>131.8746*E13*F13</f>
        <v>13.18746</v>
      </c>
      <c r="M13" s="17">
        <f t="shared" si="0"/>
        <v>177.54558236415002</v>
      </c>
      <c r="N13" s="20">
        <f t="shared" si="2"/>
        <v>205.0651476305933</v>
      </c>
      <c r="O13" s="21">
        <f t="shared" si="3"/>
        <v>0.03129236825224215</v>
      </c>
    </row>
    <row r="14" spans="2:15" ht="36">
      <c r="B14" s="4">
        <v>11</v>
      </c>
      <c r="C14" s="5" t="s">
        <v>27</v>
      </c>
      <c r="D14" s="5" t="s">
        <v>28</v>
      </c>
      <c r="E14" s="6">
        <v>0.01</v>
      </c>
      <c r="F14" s="6">
        <v>1</v>
      </c>
      <c r="G14" s="7">
        <f>11322.758898*E14*F14</f>
        <v>113.22758898000001</v>
      </c>
      <c r="H14" s="7">
        <f>15372.905138292*E14*F14</f>
        <v>153.72905138292</v>
      </c>
      <c r="I14" s="7">
        <f t="shared" si="1"/>
        <v>0</v>
      </c>
      <c r="J14" s="7">
        <f>10779.266470896*E14*F14</f>
        <v>107.79266470896</v>
      </c>
      <c r="K14" s="7">
        <f>3934.8677032547*E14*F14</f>
        <v>39.348677032547</v>
      </c>
      <c r="L14" s="14">
        <f>2264.5517796*E14*F14</f>
        <v>22.645517796</v>
      </c>
      <c r="M14" s="17">
        <f t="shared" si="0"/>
        <v>436.74349990042697</v>
      </c>
      <c r="N14" s="20">
        <f t="shared" si="2"/>
        <v>504.43874238499313</v>
      </c>
      <c r="O14" s="21">
        <f t="shared" si="3"/>
        <v>0.07697594188869454</v>
      </c>
    </row>
    <row r="15" spans="2:15" ht="36">
      <c r="B15" s="4">
        <v>12</v>
      </c>
      <c r="C15" s="5" t="s">
        <v>29</v>
      </c>
      <c r="D15" s="5" t="s">
        <v>28</v>
      </c>
      <c r="E15" s="6">
        <v>0.01</v>
      </c>
      <c r="F15" s="6">
        <v>1</v>
      </c>
      <c r="G15" s="7">
        <f>20871.22488*E15*F15</f>
        <v>208.71224880000003</v>
      </c>
      <c r="H15" s="7">
        <f>56797.785580302*E15*F15</f>
        <v>567.97785580302</v>
      </c>
      <c r="I15" s="7">
        <f t="shared" si="1"/>
        <v>0</v>
      </c>
      <c r="J15" s="7">
        <f>19869.40608576*E15*F15</f>
        <v>198.69406085760002</v>
      </c>
      <c r="K15" s="7">
        <f>10241.533737337*E15*F15</f>
        <v>102.41533737337001</v>
      </c>
      <c r="L15" s="14">
        <f>4174.244976*E15*F15</f>
        <v>41.74244976</v>
      </c>
      <c r="M15" s="17">
        <f t="shared" si="0"/>
        <v>1119.5419525939901</v>
      </c>
      <c r="N15" s="20">
        <f t="shared" si="2"/>
        <v>1293.0709552460587</v>
      </c>
      <c r="O15" s="21">
        <f t="shared" si="3"/>
        <v>0.19731901288623246</v>
      </c>
    </row>
    <row r="16" spans="2:15" ht="36">
      <c r="B16" s="4">
        <v>13</v>
      </c>
      <c r="C16" s="5" t="s">
        <v>31</v>
      </c>
      <c r="D16" s="5" t="s">
        <v>30</v>
      </c>
      <c r="E16" s="6">
        <v>0.01</v>
      </c>
      <c r="F16" s="6">
        <v>1</v>
      </c>
      <c r="G16" s="7">
        <f>6197.4066*E16*F16</f>
        <v>61.974066</v>
      </c>
      <c r="H16" s="7">
        <f>14004.4318854*E16*F16</f>
        <v>140.044318854</v>
      </c>
      <c r="I16" s="7">
        <f t="shared" si="1"/>
        <v>0</v>
      </c>
      <c r="J16" s="7">
        <f>5899.9310832*E16*F16</f>
        <v>58.999310832</v>
      </c>
      <c r="K16" s="7">
        <f>2740.685804703*E16*F16</f>
        <v>27.40685804703</v>
      </c>
      <c r="L16" s="14">
        <f>1239.48132*E16*F16</f>
        <v>12.394813200000002</v>
      </c>
      <c r="M16" s="17">
        <f t="shared" si="0"/>
        <v>300.81936693303004</v>
      </c>
      <c r="N16" s="20">
        <f t="shared" si="2"/>
        <v>347.4463688076497</v>
      </c>
      <c r="O16" s="21">
        <f t="shared" si="3"/>
        <v>0.0530193445656549</v>
      </c>
    </row>
    <row r="17" spans="2:15" ht="12">
      <c r="B17" s="4">
        <v>14</v>
      </c>
      <c r="C17" s="5" t="s">
        <v>32</v>
      </c>
      <c r="D17" s="5" t="s">
        <v>33</v>
      </c>
      <c r="E17" s="6">
        <v>1</v>
      </c>
      <c r="F17" s="6">
        <v>0.3</v>
      </c>
      <c r="G17" s="7">
        <f>969.743742*E17*F17</f>
        <v>290.9231226</v>
      </c>
      <c r="H17" s="7">
        <f>2216.4969*E17*F17</f>
        <v>664.94907</v>
      </c>
      <c r="I17" s="7">
        <f t="shared" si="1"/>
        <v>0</v>
      </c>
      <c r="J17" s="7">
        <f>923.196042384*E17*F17</f>
        <v>276.9588127152</v>
      </c>
      <c r="K17" s="7">
        <f>431.49085186032*E17*F17</f>
        <v>129.447255558096</v>
      </c>
      <c r="L17" s="14">
        <f>193.9487484*E17*F17</f>
        <v>58.18462452</v>
      </c>
      <c r="M17" s="17">
        <f t="shared" si="0"/>
        <v>1420.462885393296</v>
      </c>
      <c r="N17" s="20">
        <f t="shared" si="2"/>
        <v>1640.6346326292569</v>
      </c>
      <c r="O17" s="21">
        <f t="shared" si="3"/>
        <v>0.2503562584125705</v>
      </c>
    </row>
    <row r="18" spans="2:15" ht="24">
      <c r="B18" s="4">
        <v>15</v>
      </c>
      <c r="C18" s="5" t="s">
        <v>34</v>
      </c>
      <c r="D18" s="5" t="s">
        <v>18</v>
      </c>
      <c r="E18" s="6">
        <v>0.01</v>
      </c>
      <c r="F18" s="6">
        <v>1</v>
      </c>
      <c r="G18" s="7">
        <f>12813.5502*E18*F18</f>
        <v>128.135502</v>
      </c>
      <c r="H18" s="7">
        <f>22956.48645375*E18*F18</f>
        <v>229.5648645375</v>
      </c>
      <c r="I18" s="7">
        <f t="shared" si="1"/>
        <v>0</v>
      </c>
      <c r="J18" s="7">
        <f>12198.4997904*E18*F18</f>
        <v>121.984997904</v>
      </c>
      <c r="K18" s="7">
        <f>5036.6963266358*E18*F18</f>
        <v>50.366963266358</v>
      </c>
      <c r="L18" s="14">
        <f>2562.71004*E18*F18</f>
        <v>25.6271004</v>
      </c>
      <c r="M18" s="17">
        <f t="shared" si="0"/>
        <v>555.679428107858</v>
      </c>
      <c r="N18" s="20">
        <f t="shared" si="2"/>
        <v>641.8097394645761</v>
      </c>
      <c r="O18" s="21">
        <f t="shared" si="3"/>
        <v>0.09793837201131905</v>
      </c>
    </row>
    <row r="19" spans="2:15" ht="12">
      <c r="B19" s="4">
        <v>16</v>
      </c>
      <c r="C19" s="5" t="s">
        <v>35</v>
      </c>
      <c r="D19" s="5" t="s">
        <v>36</v>
      </c>
      <c r="E19" s="6">
        <v>1</v>
      </c>
      <c r="F19" s="6">
        <v>1</v>
      </c>
      <c r="G19" s="7">
        <f>29.23305*E19*F19</f>
        <v>29.23305</v>
      </c>
      <c r="H19" s="7">
        <f>3782.0409*E19*F19</f>
        <v>3782.0409</v>
      </c>
      <c r="I19" s="7">
        <f t="shared" si="1"/>
        <v>0</v>
      </c>
      <c r="J19" s="7">
        <f>27.8298636*E19*F19</f>
        <v>27.8298636</v>
      </c>
      <c r="K19" s="7">
        <f>403.105900428*E19*F19</f>
        <v>403.105900428</v>
      </c>
      <c r="L19" s="14">
        <f>5.84661*E19*F19</f>
        <v>5.84661</v>
      </c>
      <c r="M19" s="17">
        <f t="shared" si="0"/>
        <v>4248.056324027999</v>
      </c>
      <c r="N19" s="20">
        <f t="shared" si="2"/>
        <v>4906.505054252339</v>
      </c>
      <c r="O19" s="21">
        <f t="shared" si="3"/>
        <v>0.7487189547476558</v>
      </c>
    </row>
    <row r="20" spans="2:15" ht="12">
      <c r="B20" s="4">
        <v>17</v>
      </c>
      <c r="C20" s="5" t="s">
        <v>37</v>
      </c>
      <c r="D20" s="5" t="s">
        <v>38</v>
      </c>
      <c r="E20" s="6">
        <v>1</v>
      </c>
      <c r="F20" s="6">
        <v>1</v>
      </c>
      <c r="G20" s="7">
        <f>9.354576*E20*F20</f>
        <v>9.354576</v>
      </c>
      <c r="H20" s="7">
        <f>884.247*E20*F20</f>
        <v>884.247</v>
      </c>
      <c r="I20" s="7">
        <f t="shared" si="1"/>
        <v>0</v>
      </c>
      <c r="J20" s="7">
        <f>8.905556352*E20*F20</f>
        <v>8.905556352</v>
      </c>
      <c r="K20" s="7">
        <f>94.76324889696*E20*F20</f>
        <v>94.76324889696</v>
      </c>
      <c r="L20" s="14">
        <f>1.8709152*E20*F20</f>
        <v>1.8709152</v>
      </c>
      <c r="M20" s="17">
        <f t="shared" si="0"/>
        <v>999.1412964489599</v>
      </c>
      <c r="N20" s="20">
        <f t="shared" si="2"/>
        <v>1154.0081973985486</v>
      </c>
      <c r="O20" s="21">
        <f t="shared" si="3"/>
        <v>0.17609842479987617</v>
      </c>
    </row>
    <row r="21" spans="2:15" ht="12">
      <c r="B21" s="4">
        <v>18</v>
      </c>
      <c r="C21" s="5" t="s">
        <v>39</v>
      </c>
      <c r="D21" s="5" t="s">
        <v>40</v>
      </c>
      <c r="E21" s="6">
        <v>1</v>
      </c>
      <c r="F21" s="6">
        <v>1</v>
      </c>
      <c r="G21" s="7">
        <f>51.450168*E21*F21</f>
        <v>51.450168</v>
      </c>
      <c r="H21" s="7">
        <f>139.7403*E21*F21</f>
        <v>139.7403</v>
      </c>
      <c r="I21" s="7">
        <f t="shared" si="1"/>
        <v>0</v>
      </c>
      <c r="J21" s="7">
        <f>48.980559936*E21*F21</f>
        <v>48.980559936</v>
      </c>
      <c r="K21" s="7">
        <f>25.21795793328*E21*F21</f>
        <v>25.21795793328</v>
      </c>
      <c r="L21" s="14">
        <f>10.2900336*E21*F21</f>
        <v>10.2900336</v>
      </c>
      <c r="M21" s="17">
        <f t="shared" si="0"/>
        <v>275.67901946928</v>
      </c>
      <c r="N21" s="20">
        <f t="shared" si="2"/>
        <v>318.4092674870184</v>
      </c>
      <c r="O21" s="21">
        <f t="shared" si="3"/>
        <v>0.04858836407968906</v>
      </c>
    </row>
    <row r="22" spans="2:15" ht="12">
      <c r="B22" s="4">
        <v>19</v>
      </c>
      <c r="C22" s="5" t="s">
        <v>41</v>
      </c>
      <c r="D22" s="5" t="s">
        <v>42</v>
      </c>
      <c r="E22" s="6">
        <v>1</v>
      </c>
      <c r="F22" s="6">
        <v>1</v>
      </c>
      <c r="G22" s="7">
        <f>51.256062*E22*F22</f>
        <v>51.256062</v>
      </c>
      <c r="H22" s="7">
        <f>2.14389*E22*F22</f>
        <v>2.14389</v>
      </c>
      <c r="I22" s="7">
        <f t="shared" si="1"/>
        <v>0</v>
      </c>
      <c r="J22" s="7">
        <f>48.795771024*E22*F22</f>
        <v>48.795771024</v>
      </c>
      <c r="K22" s="7">
        <f>10.73055091752*E22*F22</f>
        <v>10.73055091752</v>
      </c>
      <c r="L22" s="14">
        <f>10.2512124*E22*F22</f>
        <v>10.2512124</v>
      </c>
      <c r="M22" s="17">
        <f t="shared" si="0"/>
        <v>123.17748634152</v>
      </c>
      <c r="N22" s="20">
        <f t="shared" si="2"/>
        <v>142.2699967244556</v>
      </c>
      <c r="O22" s="21">
        <f t="shared" si="3"/>
        <v>0.021710003772882805</v>
      </c>
    </row>
    <row r="23" spans="2:15" ht="24">
      <c r="B23" s="4">
        <v>20</v>
      </c>
      <c r="C23" s="5" t="s">
        <v>43</v>
      </c>
      <c r="D23" s="5" t="s">
        <v>44</v>
      </c>
      <c r="E23" s="6">
        <v>1</v>
      </c>
      <c r="F23" s="6">
        <v>0.1</v>
      </c>
      <c r="G23" s="7">
        <f>112.254912*E23*F23</f>
        <v>11.2254912</v>
      </c>
      <c r="H23" s="7">
        <f>5164.1427*E23*F23</f>
        <v>516.4142700000001</v>
      </c>
      <c r="I23" s="7">
        <f t="shared" si="1"/>
        <v>0</v>
      </c>
      <c r="J23" s="7">
        <f>106.866676224*E23*F23</f>
        <v>10.686667622400002</v>
      </c>
      <c r="K23" s="7">
        <f>565.24275026352*E23*F23</f>
        <v>56.524275026352</v>
      </c>
      <c r="L23" s="14">
        <f>22.4509824*E23*F23</f>
        <v>2.2450982400000004</v>
      </c>
      <c r="M23" s="17">
        <f t="shared" si="0"/>
        <v>597.0958020887521</v>
      </c>
      <c r="N23" s="20">
        <f t="shared" si="2"/>
        <v>689.6456514125086</v>
      </c>
      <c r="O23" s="21">
        <f t="shared" si="3"/>
        <v>0.1052379984454173</v>
      </c>
    </row>
    <row r="24" spans="2:15" ht="12">
      <c r="B24" s="4">
        <v>21</v>
      </c>
      <c r="C24" s="5" t="s">
        <v>45</v>
      </c>
      <c r="D24" s="5" t="s">
        <v>46</v>
      </c>
      <c r="E24" s="6">
        <v>4</v>
      </c>
      <c r="F24" s="6">
        <v>1</v>
      </c>
      <c r="G24" s="7">
        <f>22.217118*E24*F24</f>
        <v>88.868472</v>
      </c>
      <c r="H24" s="7">
        <f>62.8407*E24*F24</f>
        <v>251.3628</v>
      </c>
      <c r="I24" s="7">
        <f t="shared" si="1"/>
        <v>0</v>
      </c>
      <c r="J24" s="7">
        <f>21.150696336*E24*F24</f>
        <v>84.602785344</v>
      </c>
      <c r="K24" s="7">
        <f>11.15189400528*E24*F24</f>
        <v>44.60757602112</v>
      </c>
      <c r="L24" s="14">
        <f>4.4434236*E24*F24</f>
        <v>17.7736944</v>
      </c>
      <c r="M24" s="17">
        <f t="shared" si="0"/>
        <v>487.21532776512</v>
      </c>
      <c r="N24" s="20">
        <f t="shared" si="2"/>
        <v>562.7337035687136</v>
      </c>
      <c r="O24" s="21">
        <f t="shared" si="3"/>
        <v>0.08587158999705695</v>
      </c>
    </row>
    <row r="25" spans="2:15" ht="36">
      <c r="B25" s="4">
        <v>22</v>
      </c>
      <c r="C25" s="5" t="s">
        <v>47</v>
      </c>
      <c r="D25" s="5" t="s">
        <v>48</v>
      </c>
      <c r="E25" s="6">
        <v>0.016</v>
      </c>
      <c r="F25" s="6">
        <v>1</v>
      </c>
      <c r="G25" s="7">
        <f>2716.61676*E25*F25</f>
        <v>43.46586816</v>
      </c>
      <c r="H25" s="7">
        <f>2223.039763968*E25*F25</f>
        <v>35.568636223488</v>
      </c>
      <c r="I25" s="7">
        <f t="shared" si="1"/>
        <v>0</v>
      </c>
      <c r="J25" s="7">
        <f>2586.21915552*E25*F25</f>
        <v>41.379506488320004</v>
      </c>
      <c r="K25" s="7">
        <f>790.21694634624*E25*F25</f>
        <v>12.64347114153984</v>
      </c>
      <c r="L25" s="14">
        <f>543.323352*E25*F25</f>
        <v>8.693173632</v>
      </c>
      <c r="M25" s="17">
        <f t="shared" si="0"/>
        <v>141.75065564534785</v>
      </c>
      <c r="N25" s="20">
        <f t="shared" si="2"/>
        <v>163.72200727037676</v>
      </c>
      <c r="O25" s="21">
        <f t="shared" si="3"/>
        <v>0.02498352061136189</v>
      </c>
    </row>
    <row r="26" spans="2:15" ht="24">
      <c r="B26" s="4">
        <v>23</v>
      </c>
      <c r="C26" s="5" t="s">
        <v>49</v>
      </c>
      <c r="D26" s="5" t="s">
        <v>50</v>
      </c>
      <c r="E26" s="6">
        <v>0.5</v>
      </c>
      <c r="F26" s="6">
        <v>2</v>
      </c>
      <c r="G26" s="7">
        <f>45.603558*E26*F26</f>
        <v>45.603558</v>
      </c>
      <c r="H26" s="7">
        <f aca="true" t="shared" si="4" ref="H26:H37">0*E26*F26</f>
        <v>0</v>
      </c>
      <c r="I26" s="7">
        <f t="shared" si="1"/>
        <v>0</v>
      </c>
      <c r="J26" s="7">
        <f>43.414587216*E26*F26</f>
        <v>43.414587216</v>
      </c>
      <c r="K26" s="7">
        <f>9.34690524768*E26*F26</f>
        <v>9.34690524768</v>
      </c>
      <c r="L26" s="14">
        <f>9.1207116*E26*F26</f>
        <v>9.1207116</v>
      </c>
      <c r="M26" s="17">
        <f t="shared" si="0"/>
        <v>107.48576206368</v>
      </c>
      <c r="N26" s="20">
        <f t="shared" si="2"/>
        <v>124.1460551835504</v>
      </c>
      <c r="O26" s="21">
        <f t="shared" si="3"/>
        <v>0.01894434096068339</v>
      </c>
    </row>
    <row r="27" spans="2:15" ht="24">
      <c r="B27" s="4">
        <v>24</v>
      </c>
      <c r="C27" s="5" t="s">
        <v>51</v>
      </c>
      <c r="D27" s="5" t="s">
        <v>50</v>
      </c>
      <c r="E27" s="6">
        <v>0.016</v>
      </c>
      <c r="F27" s="6">
        <v>2</v>
      </c>
      <c r="G27" s="7">
        <f>363.659142*E27*F27</f>
        <v>11.637092544</v>
      </c>
      <c r="H27" s="7">
        <f t="shared" si="4"/>
        <v>0</v>
      </c>
      <c r="I27" s="7">
        <f t="shared" si="1"/>
        <v>0</v>
      </c>
      <c r="J27" s="7">
        <f>346.203503184*E27*F27</f>
        <v>11.078512101888</v>
      </c>
      <c r="K27" s="7">
        <f>74.53557774432*E27*F27</f>
        <v>2.38513848781824</v>
      </c>
      <c r="L27" s="14">
        <f>72.7318284*E27*F27</f>
        <v>2.3274185088</v>
      </c>
      <c r="M27" s="17">
        <f t="shared" si="0"/>
        <v>27.42816164250624</v>
      </c>
      <c r="N27" s="20">
        <f t="shared" si="2"/>
        <v>31.67952669709471</v>
      </c>
      <c r="O27" s="21">
        <f t="shared" si="3"/>
        <v>0.004834207211300541</v>
      </c>
    </row>
    <row r="28" spans="2:15" ht="24">
      <c r="B28" s="4">
        <v>25</v>
      </c>
      <c r="C28" s="5" t="s">
        <v>52</v>
      </c>
      <c r="D28" s="5" t="s">
        <v>50</v>
      </c>
      <c r="E28" s="6">
        <v>0.016</v>
      </c>
      <c r="F28" s="6">
        <v>2</v>
      </c>
      <c r="G28" s="7">
        <f>1292.37108*E28*F28</f>
        <v>41.35587456</v>
      </c>
      <c r="H28" s="7">
        <f t="shared" si="4"/>
        <v>0</v>
      </c>
      <c r="I28" s="7">
        <f t="shared" si="1"/>
        <v>0</v>
      </c>
      <c r="J28" s="7">
        <f>1230.33726816*E28*F28</f>
        <v>39.37079258112</v>
      </c>
      <c r="K28" s="7">
        <f>264.8843765568*E28*F28</f>
        <v>8.4763000498176</v>
      </c>
      <c r="L28" s="14">
        <f>258.474216*E28*F28</f>
        <v>8.271174912000001</v>
      </c>
      <c r="M28" s="17">
        <f t="shared" si="0"/>
        <v>97.4741421029376</v>
      </c>
      <c r="N28" s="20">
        <f t="shared" si="2"/>
        <v>112.58263412889293</v>
      </c>
      <c r="O28" s="21">
        <f t="shared" si="3"/>
        <v>0.01717979523422037</v>
      </c>
    </row>
    <row r="29" spans="2:15" ht="24">
      <c r="B29" s="4">
        <v>26</v>
      </c>
      <c r="C29" s="5" t="s">
        <v>53</v>
      </c>
      <c r="D29" s="5" t="s">
        <v>50</v>
      </c>
      <c r="E29" s="6">
        <v>0.016</v>
      </c>
      <c r="F29" s="6">
        <v>2</v>
      </c>
      <c r="G29" s="7">
        <f>329.6865*E29*F29</f>
        <v>10.549968000000002</v>
      </c>
      <c r="H29" s="7">
        <f t="shared" si="4"/>
        <v>0</v>
      </c>
      <c r="I29" s="7">
        <f t="shared" si="1"/>
        <v>0</v>
      </c>
      <c r="J29" s="7">
        <f>313.861548*E29*F29</f>
        <v>10.043569536000001</v>
      </c>
      <c r="K29" s="7">
        <f>67.57254504*E29*F29</f>
        <v>2.16232144128</v>
      </c>
      <c r="L29" s="14">
        <f>65.9373*E29*F29</f>
        <v>2.1099935999999997</v>
      </c>
      <c r="M29" s="17">
        <f t="shared" si="0"/>
        <v>24.865852577280002</v>
      </c>
      <c r="N29" s="20">
        <f t="shared" si="2"/>
        <v>28.720059726758404</v>
      </c>
      <c r="O29" s="21">
        <f t="shared" si="3"/>
        <v>0.004382600825056217</v>
      </c>
    </row>
    <row r="30" spans="2:15" ht="12">
      <c r="B30" s="4">
        <v>27</v>
      </c>
      <c r="C30" s="5" t="s">
        <v>54</v>
      </c>
      <c r="D30" s="5" t="s">
        <v>55</v>
      </c>
      <c r="E30" s="6">
        <v>0.016</v>
      </c>
      <c r="F30" s="6">
        <v>2</v>
      </c>
      <c r="G30" s="7">
        <f>276.93666*E30*F30</f>
        <v>8.86197312</v>
      </c>
      <c r="H30" s="7">
        <f t="shared" si="4"/>
        <v>0</v>
      </c>
      <c r="I30" s="7">
        <f t="shared" si="1"/>
        <v>0</v>
      </c>
      <c r="J30" s="7">
        <f>263.64370032*E30*F30</f>
        <v>8.43659841024</v>
      </c>
      <c r="K30" s="7">
        <f>56.7609378336*E30*F30</f>
        <v>1.8163500106752002</v>
      </c>
      <c r="L30" s="14">
        <f>55.387332*E30*F30</f>
        <v>1.7723946240000001</v>
      </c>
      <c r="M30" s="17">
        <f aca="true" t="shared" si="5" ref="M30:M60">SUM(G30:L30)</f>
        <v>20.8873161649152</v>
      </c>
      <c r="N30" s="20">
        <f t="shared" si="2"/>
        <v>24.124850170477057</v>
      </c>
      <c r="O30" s="21">
        <f t="shared" si="3"/>
        <v>0.003681384693047222</v>
      </c>
    </row>
    <row r="31" spans="2:15" ht="24">
      <c r="B31" s="4">
        <v>28</v>
      </c>
      <c r="C31" s="5" t="s">
        <v>56</v>
      </c>
      <c r="D31" s="5" t="s">
        <v>50</v>
      </c>
      <c r="E31" s="6">
        <v>0.016</v>
      </c>
      <c r="F31" s="6">
        <v>2</v>
      </c>
      <c r="G31" s="7">
        <f>527.4984*E31*F31</f>
        <v>16.879948799999998</v>
      </c>
      <c r="H31" s="7">
        <f t="shared" si="4"/>
        <v>0</v>
      </c>
      <c r="I31" s="7">
        <f aca="true" t="shared" si="6" ref="I31:I60">0*E31*F31</f>
        <v>0</v>
      </c>
      <c r="J31" s="7">
        <f>502.1784768*E31*F31</f>
        <v>16.0697112576</v>
      </c>
      <c r="K31" s="7">
        <f>108.116072064*E31*F31</f>
        <v>3.459714306048</v>
      </c>
      <c r="L31" s="14">
        <f>105.49968*E31*F31</f>
        <v>3.37598976</v>
      </c>
      <c r="M31" s="17">
        <f t="shared" si="5"/>
        <v>39.785364123648</v>
      </c>
      <c r="N31" s="20">
        <f t="shared" si="2"/>
        <v>45.95209556281344</v>
      </c>
      <c r="O31" s="21">
        <f t="shared" si="3"/>
        <v>0.007012161320089947</v>
      </c>
    </row>
    <row r="32" spans="2:15" ht="24">
      <c r="B32" s="4">
        <v>29</v>
      </c>
      <c r="C32" s="5" t="s">
        <v>57</v>
      </c>
      <c r="D32" s="5" t="s">
        <v>58</v>
      </c>
      <c r="E32" s="6">
        <v>0.28</v>
      </c>
      <c r="F32" s="6">
        <v>2</v>
      </c>
      <c r="G32" s="7">
        <f>342.87396*E32*F32</f>
        <v>192.00941760000003</v>
      </c>
      <c r="H32" s="7">
        <f t="shared" si="4"/>
        <v>0</v>
      </c>
      <c r="I32" s="7">
        <f t="shared" si="6"/>
        <v>0</v>
      </c>
      <c r="J32" s="7">
        <f>326.41600992*E32*F32</f>
        <v>182.79296555520003</v>
      </c>
      <c r="K32" s="7">
        <f>70.2754468416*E32*F32</f>
        <v>39.35425023129601</v>
      </c>
      <c r="L32" s="14">
        <f>68.574792*E32*F32</f>
        <v>38.401883520000005</v>
      </c>
      <c r="M32" s="17">
        <f t="shared" si="5"/>
        <v>452.5585169064961</v>
      </c>
      <c r="N32" s="20">
        <f t="shared" si="2"/>
        <v>522.705087027003</v>
      </c>
      <c r="O32" s="21">
        <f t="shared" si="3"/>
        <v>0.07976333501602316</v>
      </c>
    </row>
    <row r="33" spans="2:15" ht="24">
      <c r="B33" s="4">
        <v>30</v>
      </c>
      <c r="C33" s="5" t="s">
        <v>59</v>
      </c>
      <c r="D33" s="5" t="s">
        <v>60</v>
      </c>
      <c r="E33" s="6">
        <v>0.19</v>
      </c>
      <c r="F33" s="6">
        <v>1</v>
      </c>
      <c r="G33" s="7">
        <f>7912.476*E33*F33</f>
        <v>1503.37044</v>
      </c>
      <c r="H33" s="7">
        <f t="shared" si="4"/>
        <v>0</v>
      </c>
      <c r="I33" s="7">
        <f t="shared" si="6"/>
        <v>0</v>
      </c>
      <c r="J33" s="7">
        <f>7532.677152*E33*F33</f>
        <v>1431.20865888</v>
      </c>
      <c r="K33" s="7">
        <f>1621.74108096*E33*F33</f>
        <v>308.1308053824</v>
      </c>
      <c r="L33" s="14">
        <f>1582.4952*E33*F33</f>
        <v>300.67408800000004</v>
      </c>
      <c r="M33" s="17">
        <f t="shared" si="5"/>
        <v>3543.3839922624</v>
      </c>
      <c r="N33" s="20">
        <f t="shared" si="2"/>
        <v>4092.6085110630725</v>
      </c>
      <c r="O33" s="21">
        <f t="shared" si="3"/>
        <v>0.6245206175705109</v>
      </c>
    </row>
    <row r="34" spans="2:15" ht="12">
      <c r="B34" s="4">
        <v>31</v>
      </c>
      <c r="C34" s="5" t="s">
        <v>61</v>
      </c>
      <c r="D34" s="5" t="s">
        <v>62</v>
      </c>
      <c r="E34" s="6">
        <v>2</v>
      </c>
      <c r="F34" s="6">
        <v>1</v>
      </c>
      <c r="G34" s="7">
        <f>114.730902*E34*F34</f>
        <v>229.461804</v>
      </c>
      <c r="H34" s="7">
        <f t="shared" si="4"/>
        <v>0</v>
      </c>
      <c r="I34" s="7">
        <f t="shared" si="6"/>
        <v>0</v>
      </c>
      <c r="J34" s="7">
        <f>109.223818704*E34*F34</f>
        <v>218.447637408</v>
      </c>
      <c r="K34" s="7">
        <f>23.51524567392*E34*F34</f>
        <v>47.03049134784</v>
      </c>
      <c r="L34" s="14">
        <f>22.9461804*E34*F34</f>
        <v>45.8923608</v>
      </c>
      <c r="M34" s="17">
        <f t="shared" si="5"/>
        <v>540.83229355584</v>
      </c>
      <c r="N34" s="20">
        <f t="shared" si="2"/>
        <v>624.6612990569952</v>
      </c>
      <c r="O34" s="21">
        <f t="shared" si="3"/>
        <v>0.09532156794497271</v>
      </c>
    </row>
    <row r="35" spans="2:15" ht="24">
      <c r="B35" s="4">
        <v>32</v>
      </c>
      <c r="C35" s="5" t="s">
        <v>63</v>
      </c>
      <c r="D35" s="5" t="s">
        <v>64</v>
      </c>
      <c r="E35" s="6">
        <v>0.02</v>
      </c>
      <c r="F35" s="6">
        <v>1</v>
      </c>
      <c r="G35" s="7">
        <f>491.11524*E35*F35</f>
        <v>9.8223048</v>
      </c>
      <c r="H35" s="7">
        <f t="shared" si="4"/>
        <v>0</v>
      </c>
      <c r="I35" s="7">
        <f t="shared" si="6"/>
        <v>0</v>
      </c>
      <c r="J35" s="7">
        <f>467.54170848*E35*F35</f>
        <v>9.3508341696</v>
      </c>
      <c r="K35" s="7">
        <f>100.6589795904*E35*F35</f>
        <v>2.013179591808</v>
      </c>
      <c r="L35" s="14">
        <f>98.223048*E35*F35</f>
        <v>1.9644609600000003</v>
      </c>
      <c r="M35" s="17">
        <f t="shared" si="5"/>
        <v>23.150779521408</v>
      </c>
      <c r="N35" s="20">
        <f t="shared" si="2"/>
        <v>26.739150347226243</v>
      </c>
      <c r="O35" s="21">
        <f t="shared" si="3"/>
        <v>0.004080319591531808</v>
      </c>
    </row>
    <row r="36" spans="2:15" ht="24">
      <c r="B36" s="4">
        <v>33</v>
      </c>
      <c r="C36" s="5" t="s">
        <v>65</v>
      </c>
      <c r="D36" s="5" t="s">
        <v>64</v>
      </c>
      <c r="E36" s="6">
        <v>0.02</v>
      </c>
      <c r="F36" s="6">
        <v>1</v>
      </c>
      <c r="G36" s="7">
        <f>491.11524*E36*F36</f>
        <v>9.8223048</v>
      </c>
      <c r="H36" s="7">
        <f t="shared" si="4"/>
        <v>0</v>
      </c>
      <c r="I36" s="7">
        <f t="shared" si="6"/>
        <v>0</v>
      </c>
      <c r="J36" s="7">
        <f>467.54170848*E36*F36</f>
        <v>9.3508341696</v>
      </c>
      <c r="K36" s="7">
        <f>100.6589795904*E36*F36</f>
        <v>2.013179591808</v>
      </c>
      <c r="L36" s="14">
        <f>98.223048*E36*F36</f>
        <v>1.9644609600000003</v>
      </c>
      <c r="M36" s="17">
        <f t="shared" si="5"/>
        <v>23.150779521408</v>
      </c>
      <c r="N36" s="20">
        <f t="shared" si="2"/>
        <v>26.739150347226243</v>
      </c>
      <c r="O36" s="21">
        <f t="shared" si="3"/>
        <v>0.004080319591531808</v>
      </c>
    </row>
    <row r="37" spans="2:15" ht="24">
      <c r="B37" s="4">
        <v>34</v>
      </c>
      <c r="C37" s="5" t="s">
        <v>66</v>
      </c>
      <c r="D37" s="5" t="s">
        <v>67</v>
      </c>
      <c r="E37" s="6">
        <v>0.02</v>
      </c>
      <c r="F37" s="6">
        <v>1</v>
      </c>
      <c r="G37" s="7">
        <f>1186.8714*E37*F37</f>
        <v>23.737428</v>
      </c>
      <c r="H37" s="7">
        <f t="shared" si="4"/>
        <v>0</v>
      </c>
      <c r="I37" s="7">
        <f t="shared" si="6"/>
        <v>0</v>
      </c>
      <c r="J37" s="7">
        <f>1129.9015728*E37*F37</f>
        <v>22.598031455999998</v>
      </c>
      <c r="K37" s="7">
        <f>243.261162144*E37*F37</f>
        <v>4.86522324288</v>
      </c>
      <c r="L37" s="14">
        <f>237.37428*E37*F37</f>
        <v>4.7474856</v>
      </c>
      <c r="M37" s="17">
        <f t="shared" si="5"/>
        <v>55.94816829887999</v>
      </c>
      <c r="N37" s="20">
        <f t="shared" si="2"/>
        <v>64.6201343852064</v>
      </c>
      <c r="O37" s="21">
        <f t="shared" si="3"/>
        <v>0.009860851856376487</v>
      </c>
    </row>
    <row r="38" spans="2:15" ht="12">
      <c r="B38" s="4">
        <v>35</v>
      </c>
      <c r="C38" s="5" t="s">
        <v>68</v>
      </c>
      <c r="D38" s="5" t="s">
        <v>69</v>
      </c>
      <c r="E38" s="6">
        <v>0.3</v>
      </c>
      <c r="F38" s="6">
        <v>1</v>
      </c>
      <c r="G38" s="7">
        <f>211.13866251311*E38*F38</f>
        <v>63.341598753933</v>
      </c>
      <c r="H38" s="7">
        <f>4743.96866562*E38*F38</f>
        <v>1423.190599686</v>
      </c>
      <c r="I38" s="7">
        <f t="shared" si="6"/>
        <v>0</v>
      </c>
      <c r="J38" s="7">
        <f>201.00400671248*E38*F38</f>
        <v>60.301202013743996</v>
      </c>
      <c r="K38" s="7">
        <f>541.39169015879*E38*F38</f>
        <v>162.41750704763697</v>
      </c>
      <c r="L38" s="14">
        <f>42.227732502622*E38*F38</f>
        <v>12.6683197507866</v>
      </c>
      <c r="M38" s="17">
        <f t="shared" si="5"/>
        <v>1721.9192272521004</v>
      </c>
      <c r="N38" s="20">
        <f t="shared" si="2"/>
        <v>1988.8167074761761</v>
      </c>
      <c r="O38" s="21">
        <f t="shared" si="3"/>
        <v>0.3034878696630922</v>
      </c>
    </row>
    <row r="39" spans="2:15" ht="24">
      <c r="B39" s="4">
        <v>36</v>
      </c>
      <c r="C39" s="5" t="s">
        <v>70</v>
      </c>
      <c r="D39" s="5" t="s">
        <v>71</v>
      </c>
      <c r="E39" s="6">
        <v>1</v>
      </c>
      <c r="F39" s="6">
        <v>1</v>
      </c>
      <c r="G39" s="7">
        <f>108.230958*E39*F39</f>
        <v>108.230958</v>
      </c>
      <c r="H39" s="7">
        <f>10.2828*E39*F39</f>
        <v>10.2828</v>
      </c>
      <c r="I39" s="7">
        <f t="shared" si="6"/>
        <v>0</v>
      </c>
      <c r="J39" s="7">
        <f>103.035872016*E39*F39</f>
        <v>103.035872016</v>
      </c>
      <c r="K39" s="7">
        <f>23.26271115168*E39*F39</f>
        <v>23.26271115168</v>
      </c>
      <c r="L39" s="14">
        <f>21.6461916*E39*F39</f>
        <v>21.6461916</v>
      </c>
      <c r="M39" s="17">
        <f t="shared" si="5"/>
        <v>266.45853276767997</v>
      </c>
      <c r="N39" s="20">
        <f t="shared" si="2"/>
        <v>307.75960534667036</v>
      </c>
      <c r="O39" s="21">
        <f t="shared" si="3"/>
        <v>0.0469632554090628</v>
      </c>
    </row>
    <row r="40" spans="2:15" ht="24">
      <c r="B40" s="4">
        <v>37</v>
      </c>
      <c r="C40" s="5" t="s">
        <v>72</v>
      </c>
      <c r="D40" s="5" t="s">
        <v>73</v>
      </c>
      <c r="E40" s="6">
        <v>0.01</v>
      </c>
      <c r="F40" s="6">
        <v>1</v>
      </c>
      <c r="G40" s="7">
        <f>6548.2032*E40*F40</f>
        <v>65.482032</v>
      </c>
      <c r="H40" s="7">
        <f>0*E40*F40</f>
        <v>0</v>
      </c>
      <c r="I40" s="7">
        <f t="shared" si="6"/>
        <v>0</v>
      </c>
      <c r="J40" s="7">
        <f>6233.8894464*E40*F40</f>
        <v>62.338894464000006</v>
      </c>
      <c r="K40" s="7">
        <f>1342.119727872*E40*F40</f>
        <v>13.421197278720001</v>
      </c>
      <c r="L40" s="14">
        <f>1309.64064*E40*F40</f>
        <v>13.096406400000001</v>
      </c>
      <c r="M40" s="17">
        <f t="shared" si="5"/>
        <v>154.33853014272003</v>
      </c>
      <c r="N40" s="20">
        <f t="shared" si="2"/>
        <v>178.26100231484165</v>
      </c>
      <c r="O40" s="21">
        <f t="shared" si="3"/>
        <v>0.027202130610212056</v>
      </c>
    </row>
    <row r="41" spans="2:15" ht="24">
      <c r="B41" s="4">
        <v>38</v>
      </c>
      <c r="C41" s="5" t="s">
        <v>74</v>
      </c>
      <c r="D41" s="5" t="s">
        <v>75</v>
      </c>
      <c r="E41" s="6">
        <v>0.05</v>
      </c>
      <c r="F41" s="6">
        <v>1</v>
      </c>
      <c r="G41" s="7">
        <f>2221.7118*E41*F41</f>
        <v>111.08559000000001</v>
      </c>
      <c r="H41" s="7">
        <f>0*E41*F41</f>
        <v>0</v>
      </c>
      <c r="I41" s="7">
        <f t="shared" si="6"/>
        <v>0</v>
      </c>
      <c r="J41" s="7">
        <f>2115.0696336*E41*F41</f>
        <v>105.75348168000001</v>
      </c>
      <c r="K41" s="7">
        <f>455.362050528*E41*F41</f>
        <v>22.7681025264</v>
      </c>
      <c r="L41" s="14">
        <f>444.34236*E41*F41</f>
        <v>22.217118</v>
      </c>
      <c r="M41" s="17">
        <f t="shared" si="5"/>
        <v>261.82429220640006</v>
      </c>
      <c r="N41" s="20">
        <f t="shared" si="2"/>
        <v>302.4070574983921</v>
      </c>
      <c r="O41" s="21">
        <f t="shared" si="3"/>
        <v>0.04614647157089544</v>
      </c>
    </row>
    <row r="42" spans="2:15" ht="12">
      <c r="B42" s="4">
        <v>39</v>
      </c>
      <c r="C42" s="5" t="s">
        <v>76</v>
      </c>
      <c r="D42" s="5" t="s">
        <v>77</v>
      </c>
      <c r="E42" s="6">
        <v>0.02</v>
      </c>
      <c r="F42" s="6">
        <v>1</v>
      </c>
      <c r="G42" s="7">
        <f>5846.61*E42*F42</f>
        <v>116.9322</v>
      </c>
      <c r="H42" s="7">
        <f>9515.8988376*E42*F42</f>
        <v>190.317976752</v>
      </c>
      <c r="I42" s="7">
        <f t="shared" si="6"/>
        <v>0</v>
      </c>
      <c r="J42" s="7">
        <f>5565.97272*E42*F42</f>
        <v>111.3194544</v>
      </c>
      <c r="K42" s="7">
        <f>2197.490563548*E42*F42</f>
        <v>43.94981127096</v>
      </c>
      <c r="L42" s="14">
        <f>1169.322*E42*F42</f>
        <v>23.386439999999997</v>
      </c>
      <c r="M42" s="17">
        <f t="shared" si="5"/>
        <v>485.90588242295996</v>
      </c>
      <c r="N42" s="20">
        <f t="shared" si="2"/>
        <v>561.2212941985188</v>
      </c>
      <c r="O42" s="21">
        <f t="shared" si="3"/>
        <v>0.08564080055522778</v>
      </c>
    </row>
    <row r="43" spans="2:15" ht="24">
      <c r="B43" s="4">
        <v>40</v>
      </c>
      <c r="C43" s="5" t="s">
        <v>78</v>
      </c>
      <c r="D43" s="5" t="s">
        <v>69</v>
      </c>
      <c r="E43" s="6">
        <v>0.015</v>
      </c>
      <c r="F43" s="6">
        <v>1</v>
      </c>
      <c r="G43" s="7">
        <f>3693.6702*E43*F43</f>
        <v>55.405052999999995</v>
      </c>
      <c r="H43" s="7">
        <f>3078.1083822*E43*F43</f>
        <v>46.171625733</v>
      </c>
      <c r="I43" s="7">
        <f t="shared" si="6"/>
        <v>0</v>
      </c>
      <c r="J43" s="7">
        <f>3516.3740304*E43*F43</f>
        <v>52.745610455999994</v>
      </c>
      <c r="K43" s="7">
        <f>1080.256024323*E43*F43</f>
        <v>16.203840364845</v>
      </c>
      <c r="L43" s="14">
        <f>738.73404*E43*F43</f>
        <v>11.0810106</v>
      </c>
      <c r="M43" s="17">
        <f t="shared" si="5"/>
        <v>181.60714015384502</v>
      </c>
      <c r="N43" s="20">
        <f t="shared" si="2"/>
        <v>209.756246877691</v>
      </c>
      <c r="O43" s="21">
        <f t="shared" si="3"/>
        <v>0.03200821688300235</v>
      </c>
    </row>
    <row r="44" spans="2:15" ht="24">
      <c r="B44" s="4">
        <v>41</v>
      </c>
      <c r="C44" s="5" t="s">
        <v>79</v>
      </c>
      <c r="D44" s="5" t="s">
        <v>80</v>
      </c>
      <c r="E44" s="6">
        <v>2</v>
      </c>
      <c r="F44" s="6">
        <v>1</v>
      </c>
      <c r="G44" s="7">
        <f>13.18746*E44*F44</f>
        <v>26.37492</v>
      </c>
      <c r="H44" s="7">
        <f aca="true" t="shared" si="7" ref="H44:H52">0*E44*F44</f>
        <v>0</v>
      </c>
      <c r="I44" s="7">
        <f t="shared" si="6"/>
        <v>0</v>
      </c>
      <c r="J44" s="7">
        <f>12.55446192*E44*F44</f>
        <v>25.10892384</v>
      </c>
      <c r="K44" s="7">
        <f>2.7029018016*E44*F44</f>
        <v>5.4058036032</v>
      </c>
      <c r="L44" s="14">
        <f>2.637492*E44*F44</f>
        <v>5.274984</v>
      </c>
      <c r="M44" s="17">
        <f t="shared" si="5"/>
        <v>62.164631443199994</v>
      </c>
      <c r="N44" s="20">
        <f t="shared" si="2"/>
        <v>71.800149316896</v>
      </c>
      <c r="O44" s="21">
        <f t="shared" si="3"/>
        <v>0.01095650206264054</v>
      </c>
    </row>
    <row r="45" spans="2:15" ht="12">
      <c r="B45" s="4">
        <v>42</v>
      </c>
      <c r="C45" s="5" t="s">
        <v>81</v>
      </c>
      <c r="D45" s="5" t="s">
        <v>80</v>
      </c>
      <c r="E45" s="6">
        <v>1</v>
      </c>
      <c r="F45" s="6">
        <v>1</v>
      </c>
      <c r="G45" s="7">
        <f>11.69322*E45*F45</f>
        <v>11.69322</v>
      </c>
      <c r="H45" s="7">
        <f t="shared" si="7"/>
        <v>0</v>
      </c>
      <c r="I45" s="7">
        <f t="shared" si="6"/>
        <v>0</v>
      </c>
      <c r="J45" s="7">
        <f>11.13194544*E45*F45</f>
        <v>11.13194544</v>
      </c>
      <c r="K45" s="7">
        <f>2.3966423712*E45*F45</f>
        <v>2.3966423712</v>
      </c>
      <c r="L45" s="14">
        <f>2.338644*E45*F45</f>
        <v>2.338644</v>
      </c>
      <c r="M45" s="17">
        <f t="shared" si="5"/>
        <v>27.560451811199997</v>
      </c>
      <c r="N45" s="20">
        <f t="shared" si="2"/>
        <v>31.832321841935997</v>
      </c>
      <c r="O45" s="21">
        <f t="shared" si="3"/>
        <v>0.004857523323252151</v>
      </c>
    </row>
    <row r="46" spans="2:15" ht="24">
      <c r="B46" s="4">
        <v>43</v>
      </c>
      <c r="C46" s="5" t="s">
        <v>82</v>
      </c>
      <c r="D46" s="5" t="s">
        <v>80</v>
      </c>
      <c r="E46" s="6">
        <v>1</v>
      </c>
      <c r="F46" s="6">
        <v>1</v>
      </c>
      <c r="G46" s="7">
        <f>35.07966*E46*F46</f>
        <v>35.07966</v>
      </c>
      <c r="H46" s="7">
        <f t="shared" si="7"/>
        <v>0</v>
      </c>
      <c r="I46" s="7">
        <f t="shared" si="6"/>
        <v>0</v>
      </c>
      <c r="J46" s="7">
        <f>33.39583632*E46*F46</f>
        <v>33.39583632</v>
      </c>
      <c r="K46" s="7">
        <f>7.1899271136*E46*F46</f>
        <v>7.1899271136</v>
      </c>
      <c r="L46" s="14">
        <f>7.015932*E46*F46</f>
        <v>7.015932</v>
      </c>
      <c r="M46" s="17">
        <f t="shared" si="5"/>
        <v>82.68135543359999</v>
      </c>
      <c r="N46" s="20">
        <f t="shared" si="2"/>
        <v>95.496965525808</v>
      </c>
      <c r="O46" s="21">
        <f t="shared" si="3"/>
        <v>0.014572569969756454</v>
      </c>
    </row>
    <row r="47" spans="2:15" ht="12">
      <c r="B47" s="4">
        <v>44</v>
      </c>
      <c r="C47" s="5" t="s">
        <v>83</v>
      </c>
      <c r="D47" s="5" t="s">
        <v>80</v>
      </c>
      <c r="E47" s="6">
        <v>1</v>
      </c>
      <c r="F47" s="6">
        <v>1</v>
      </c>
      <c r="G47" s="7">
        <f>26.37492*E47*F47</f>
        <v>26.37492</v>
      </c>
      <c r="H47" s="7">
        <f t="shared" si="7"/>
        <v>0</v>
      </c>
      <c r="I47" s="7">
        <f t="shared" si="6"/>
        <v>0</v>
      </c>
      <c r="J47" s="7">
        <f>25.10892384*E47*F47</f>
        <v>25.10892384</v>
      </c>
      <c r="K47" s="7">
        <f>5.4058036032*E47*F47</f>
        <v>5.4058036032</v>
      </c>
      <c r="L47" s="14">
        <f>5.274984*E47*F47</f>
        <v>5.274984</v>
      </c>
      <c r="M47" s="17">
        <f t="shared" si="5"/>
        <v>62.164631443199994</v>
      </c>
      <c r="N47" s="20">
        <f t="shared" si="2"/>
        <v>71.800149316896</v>
      </c>
      <c r="O47" s="21">
        <f t="shared" si="3"/>
        <v>0.01095650206264054</v>
      </c>
    </row>
    <row r="48" spans="2:15" ht="24">
      <c r="B48" s="4">
        <v>45</v>
      </c>
      <c r="C48" s="5" t="s">
        <v>84</v>
      </c>
      <c r="D48" s="5" t="s">
        <v>80</v>
      </c>
      <c r="E48" s="6">
        <v>1</v>
      </c>
      <c r="F48" s="6">
        <v>1</v>
      </c>
      <c r="G48" s="7">
        <f>94.949712*E48*F48</f>
        <v>94.949712</v>
      </c>
      <c r="H48" s="7">
        <f t="shared" si="7"/>
        <v>0</v>
      </c>
      <c r="I48" s="7">
        <f t="shared" si="6"/>
        <v>0</v>
      </c>
      <c r="J48" s="7">
        <f>90.392125824*E48*F48</f>
        <v>90.392125824</v>
      </c>
      <c r="K48" s="7">
        <f>19.46089297152*E48*F48</f>
        <v>19.46089297152</v>
      </c>
      <c r="L48" s="14">
        <f>18.9899424*E48*F48</f>
        <v>18.9899424</v>
      </c>
      <c r="M48" s="17">
        <f t="shared" si="5"/>
        <v>223.79267319552</v>
      </c>
      <c r="N48" s="20">
        <f t="shared" si="2"/>
        <v>258.4805375408256</v>
      </c>
      <c r="O48" s="21">
        <f t="shared" si="3"/>
        <v>0.03944340742550595</v>
      </c>
    </row>
    <row r="49" spans="2:15" ht="12">
      <c r="B49" s="4">
        <v>46</v>
      </c>
      <c r="C49" s="5" t="s">
        <v>85</v>
      </c>
      <c r="D49" s="5" t="s">
        <v>80</v>
      </c>
      <c r="E49" s="6">
        <v>1</v>
      </c>
      <c r="F49" s="6">
        <v>1</v>
      </c>
      <c r="G49" s="7">
        <f>13.18746*E49*F49</f>
        <v>13.18746</v>
      </c>
      <c r="H49" s="7">
        <f t="shared" si="7"/>
        <v>0</v>
      </c>
      <c r="I49" s="7">
        <f t="shared" si="6"/>
        <v>0</v>
      </c>
      <c r="J49" s="7">
        <f>12.55446192*E49*F49</f>
        <v>12.55446192</v>
      </c>
      <c r="K49" s="7">
        <f>2.7029018016*E49*F49</f>
        <v>2.7029018016</v>
      </c>
      <c r="L49" s="14">
        <f>2.637492*E49*F49</f>
        <v>2.637492</v>
      </c>
      <c r="M49" s="17">
        <f t="shared" si="5"/>
        <v>31.082315721599997</v>
      </c>
      <c r="N49" s="20">
        <f t="shared" si="2"/>
        <v>35.900074658448</v>
      </c>
      <c r="O49" s="21">
        <f t="shared" si="3"/>
        <v>0.00547825103132027</v>
      </c>
    </row>
    <row r="50" spans="2:15" ht="12">
      <c r="B50" s="4">
        <v>47</v>
      </c>
      <c r="C50" s="5" t="s">
        <v>86</v>
      </c>
      <c r="D50" s="5" t="s">
        <v>87</v>
      </c>
      <c r="E50" s="6">
        <v>1</v>
      </c>
      <c r="F50" s="6">
        <v>1</v>
      </c>
      <c r="G50" s="7">
        <f>131.8746*E50*F50</f>
        <v>131.8746</v>
      </c>
      <c r="H50" s="7">
        <f t="shared" si="7"/>
        <v>0</v>
      </c>
      <c r="I50" s="7">
        <f t="shared" si="6"/>
        <v>0</v>
      </c>
      <c r="J50" s="7">
        <f>125.5446192*E50*F50</f>
        <v>125.5446192</v>
      </c>
      <c r="K50" s="7">
        <f>27.029018016*E50*F50</f>
        <v>27.029018016</v>
      </c>
      <c r="L50" s="14">
        <f>26.37492*E50*F50</f>
        <v>26.37492</v>
      </c>
      <c r="M50" s="17">
        <f t="shared" si="5"/>
        <v>310.82315721599997</v>
      </c>
      <c r="N50" s="20">
        <f t="shared" si="2"/>
        <v>359.00074658448</v>
      </c>
      <c r="O50" s="21">
        <f t="shared" si="3"/>
        <v>0.05478251031320271</v>
      </c>
    </row>
    <row r="51" spans="2:15" ht="24">
      <c r="B51" s="4">
        <v>48</v>
      </c>
      <c r="C51" s="5" t="s">
        <v>88</v>
      </c>
      <c r="D51" s="5" t="s">
        <v>87</v>
      </c>
      <c r="E51" s="6">
        <v>1</v>
      </c>
      <c r="F51" s="6">
        <v>1</v>
      </c>
      <c r="G51" s="7">
        <f>242.63712*E51*F51</f>
        <v>242.63712</v>
      </c>
      <c r="H51" s="7">
        <f t="shared" si="7"/>
        <v>0</v>
      </c>
      <c r="I51" s="7">
        <f t="shared" si="6"/>
        <v>0</v>
      </c>
      <c r="J51" s="7">
        <f>230.99053824*E51*F51</f>
        <v>230.99053824</v>
      </c>
      <c r="K51" s="7">
        <f>49.7309041152*E51*F51</f>
        <v>49.7309041152</v>
      </c>
      <c r="L51" s="14">
        <f>48.527424*E51*F51</f>
        <v>48.527424</v>
      </c>
      <c r="M51" s="17">
        <f t="shared" si="5"/>
        <v>571.8859863552</v>
      </c>
      <c r="N51" s="20">
        <f t="shared" si="2"/>
        <v>660.528314240256</v>
      </c>
      <c r="O51" s="21">
        <f t="shared" si="3"/>
        <v>0.10079477419279985</v>
      </c>
    </row>
    <row r="52" spans="2:15" ht="60">
      <c r="B52" s="4">
        <v>49</v>
      </c>
      <c r="C52" s="5" t="s">
        <v>89</v>
      </c>
      <c r="D52" s="5" t="s">
        <v>90</v>
      </c>
      <c r="E52" s="6">
        <v>0.546</v>
      </c>
      <c r="F52" s="6">
        <v>1</v>
      </c>
      <c r="G52" s="7">
        <f>1751.850078*E52*F52</f>
        <v>956.510142588</v>
      </c>
      <c r="H52" s="7">
        <f t="shared" si="7"/>
        <v>0</v>
      </c>
      <c r="I52" s="7">
        <f t="shared" si="6"/>
        <v>0</v>
      </c>
      <c r="J52" s="7">
        <f>1667.761274256*E52*F52</f>
        <v>910.597655743776</v>
      </c>
      <c r="K52" s="7">
        <f>359.05919198688*E52*F52</f>
        <v>196.0463188248365</v>
      </c>
      <c r="L52" s="14">
        <f>350.3700156*E52*F52</f>
        <v>191.3020285176</v>
      </c>
      <c r="M52" s="17">
        <f t="shared" si="5"/>
        <v>2254.456145674212</v>
      </c>
      <c r="N52" s="20">
        <f t="shared" si="2"/>
        <v>2603.8968482537152</v>
      </c>
      <c r="O52" s="21">
        <f t="shared" si="3"/>
        <v>0.39734737963952194</v>
      </c>
    </row>
    <row r="53" spans="2:15" ht="24">
      <c r="B53" s="4">
        <v>50</v>
      </c>
      <c r="C53" s="5" t="s">
        <v>91</v>
      </c>
      <c r="D53" s="5" t="s">
        <v>92</v>
      </c>
      <c r="E53" s="6">
        <v>0.2</v>
      </c>
      <c r="F53" s="6">
        <v>20</v>
      </c>
      <c r="G53" s="7">
        <f>213.884748*E53*F53</f>
        <v>855.538992</v>
      </c>
      <c r="H53" s="7">
        <f>5.320242*E53*F53</f>
        <v>21.280968</v>
      </c>
      <c r="I53" s="7">
        <f t="shared" si="6"/>
        <v>0</v>
      </c>
      <c r="J53" s="7">
        <f>203.618280096*E53*F53</f>
        <v>814.4731203840001</v>
      </c>
      <c r="K53" s="7">
        <f>44.39644336008*E53*F53</f>
        <v>177.58577344032003</v>
      </c>
      <c r="L53" s="14">
        <f>42.7769496*E53*F53</f>
        <v>171.10779840000004</v>
      </c>
      <c r="M53" s="17">
        <f t="shared" si="5"/>
        <v>2039.9866522243203</v>
      </c>
      <c r="N53" s="20">
        <f t="shared" si="2"/>
        <v>2356.18458331909</v>
      </c>
      <c r="O53" s="21">
        <f t="shared" si="3"/>
        <v>0.35954718051014617</v>
      </c>
    </row>
    <row r="54" spans="2:15" ht="24">
      <c r="B54" s="4">
        <v>51</v>
      </c>
      <c r="C54" s="5" t="s">
        <v>93</v>
      </c>
      <c r="D54" s="5" t="s">
        <v>94</v>
      </c>
      <c r="E54" s="6">
        <v>0.02</v>
      </c>
      <c r="F54" s="6">
        <v>6</v>
      </c>
      <c r="G54" s="7">
        <f>3449.754*E54*F54</f>
        <v>413.97048</v>
      </c>
      <c r="H54" s="7">
        <f>73.799754*E54*F54</f>
        <v>8.85597048</v>
      </c>
      <c r="I54" s="7">
        <f t="shared" si="6"/>
        <v>0</v>
      </c>
      <c r="J54" s="7">
        <f>3284.165808*E54*F54</f>
        <v>394.09989696</v>
      </c>
      <c r="K54" s="7">
        <f>714.81055401*E54*F54</f>
        <v>85.7772664812</v>
      </c>
      <c r="L54" s="14">
        <f>689.9508*E54*F54</f>
        <v>82.794096</v>
      </c>
      <c r="M54" s="17">
        <f t="shared" si="5"/>
        <v>985.4977099212</v>
      </c>
      <c r="N54" s="20">
        <f t="shared" si="2"/>
        <v>1138.2498549589861</v>
      </c>
      <c r="O54" s="21">
        <f t="shared" si="3"/>
        <v>0.17369374579731825</v>
      </c>
    </row>
    <row r="55" spans="2:15" ht="24">
      <c r="B55" s="4">
        <v>52</v>
      </c>
      <c r="C55" s="5" t="s">
        <v>95</v>
      </c>
      <c r="D55" s="5" t="s">
        <v>94</v>
      </c>
      <c r="E55" s="6">
        <v>0.02</v>
      </c>
      <c r="F55" s="6">
        <v>10</v>
      </c>
      <c r="G55" s="7">
        <f>14784.66*E55*F55</f>
        <v>2956.932</v>
      </c>
      <c r="H55" s="7">
        <f>246.30012*E55*F55</f>
        <v>49.260024</v>
      </c>
      <c r="I55" s="7">
        <f t="shared" si="6"/>
        <v>0</v>
      </c>
      <c r="J55" s="7">
        <f>14074.99632*E55*F55</f>
        <v>2814.999264</v>
      </c>
      <c r="K55" s="7">
        <f>3056.1254262*E55*F55</f>
        <v>611.22508524</v>
      </c>
      <c r="L55" s="14">
        <f>2956.932*E55*F55</f>
        <v>591.3864</v>
      </c>
      <c r="M55" s="17">
        <f t="shared" si="5"/>
        <v>7023.8027732400005</v>
      </c>
      <c r="N55" s="20">
        <f t="shared" si="2"/>
        <v>8112.492203092201</v>
      </c>
      <c r="O55" s="21">
        <f t="shared" si="3"/>
        <v>1.2379436310645486</v>
      </c>
    </row>
    <row r="56" spans="2:15" ht="12">
      <c r="B56" s="4">
        <v>53</v>
      </c>
      <c r="C56" s="5" t="s">
        <v>96</v>
      </c>
      <c r="D56" s="5" t="s">
        <v>97</v>
      </c>
      <c r="E56" s="6">
        <v>2</v>
      </c>
      <c r="F56" s="6">
        <v>1</v>
      </c>
      <c r="G56" s="7">
        <f>295.6932*E56*F56</f>
        <v>591.3864</v>
      </c>
      <c r="H56" s="7">
        <f>0*E56*F56</f>
        <v>0</v>
      </c>
      <c r="I56" s="7">
        <f t="shared" si="6"/>
        <v>0</v>
      </c>
      <c r="J56" s="7">
        <f>281.4999264*E56*F56</f>
        <v>562.9998528</v>
      </c>
      <c r="K56" s="7">
        <f>60.605278272*E56*F56</f>
        <v>121.210556544</v>
      </c>
      <c r="L56" s="14">
        <f>59.13864*E56*F56</f>
        <v>118.27728</v>
      </c>
      <c r="M56" s="17">
        <f t="shared" si="5"/>
        <v>1393.874089344</v>
      </c>
      <c r="N56" s="20">
        <f t="shared" si="2"/>
        <v>1609.92457319232</v>
      </c>
      <c r="O56" s="21">
        <f t="shared" si="3"/>
        <v>0.24566998919494595</v>
      </c>
    </row>
    <row r="57" spans="2:15" ht="12">
      <c r="B57" s="4">
        <v>54</v>
      </c>
      <c r="C57" s="5" t="s">
        <v>98</v>
      </c>
      <c r="D57" s="5" t="s">
        <v>99</v>
      </c>
      <c r="E57" s="6">
        <v>2</v>
      </c>
      <c r="F57" s="6">
        <v>1</v>
      </c>
      <c r="G57" s="7">
        <f>118.27728*E57*F57</f>
        <v>236.55456</v>
      </c>
      <c r="H57" s="7">
        <f>0*E57*F57</f>
        <v>0</v>
      </c>
      <c r="I57" s="7">
        <f t="shared" si="6"/>
        <v>0</v>
      </c>
      <c r="J57" s="7">
        <f>112.59997056*E57*F57</f>
        <v>225.19994112</v>
      </c>
      <c r="K57" s="7">
        <f>24.2421113088*E57*F57</f>
        <v>48.4842226176</v>
      </c>
      <c r="L57" s="14">
        <f>23.655456*E57*F57</f>
        <v>47.310912</v>
      </c>
      <c r="M57" s="17">
        <f t="shared" si="5"/>
        <v>557.5496357375999</v>
      </c>
      <c r="N57" s="20">
        <f t="shared" si="2"/>
        <v>643.969829276928</v>
      </c>
      <c r="O57" s="21">
        <f t="shared" si="3"/>
        <v>0.09826799567797838</v>
      </c>
    </row>
    <row r="58" spans="2:15" ht="24">
      <c r="B58" s="4">
        <v>55</v>
      </c>
      <c r="C58" s="5" t="s">
        <v>100</v>
      </c>
      <c r="D58" s="5" t="s">
        <v>101</v>
      </c>
      <c r="E58" s="6">
        <v>0.02</v>
      </c>
      <c r="F58" s="6">
        <v>10</v>
      </c>
      <c r="G58" s="7">
        <f>136.018872*E58*F58</f>
        <v>27.203774399999997</v>
      </c>
      <c r="H58" s="7">
        <f>0.69285039*E58*F58</f>
        <v>0.138570078</v>
      </c>
      <c r="I58" s="7">
        <f t="shared" si="6"/>
        <v>0</v>
      </c>
      <c r="J58" s="7">
        <f>129.489966144*E58*F58</f>
        <v>25.897993228799997</v>
      </c>
      <c r="K58" s="7">
        <f>27.95117729607*E58*F58</f>
        <v>5.590235459214</v>
      </c>
      <c r="L58" s="14">
        <f>27.2037744*E58*F58</f>
        <v>5.44075488</v>
      </c>
      <c r="M58" s="17">
        <f t="shared" si="5"/>
        <v>64.27132804601399</v>
      </c>
      <c r="N58" s="20">
        <f t="shared" si="2"/>
        <v>74.23338389314617</v>
      </c>
      <c r="O58" s="21">
        <f t="shared" si="3"/>
        <v>0.011327806856672491</v>
      </c>
    </row>
    <row r="59" spans="2:15" ht="24">
      <c r="B59" s="4">
        <v>56</v>
      </c>
      <c r="C59" s="5" t="s">
        <v>102</v>
      </c>
      <c r="D59" s="5" t="s">
        <v>101</v>
      </c>
      <c r="E59" s="6">
        <v>0.02</v>
      </c>
      <c r="F59" s="6">
        <v>10</v>
      </c>
      <c r="G59" s="7">
        <f>25.133922*E59*F59</f>
        <v>5.0267843999999995</v>
      </c>
      <c r="H59" s="7">
        <f>0.3310668*E59*F59</f>
        <v>0.06621336</v>
      </c>
      <c r="I59" s="7">
        <f t="shared" si="6"/>
        <v>0</v>
      </c>
      <c r="J59" s="7">
        <f>23.927493744*E59*F59</f>
        <v>4.7854987488</v>
      </c>
      <c r="K59" s="7">
        <f>5.18621066712*E59*F59</f>
        <v>1.037242133424</v>
      </c>
      <c r="L59" s="14">
        <f>5.0267844*E59*F59</f>
        <v>1.0053568800000001</v>
      </c>
      <c r="M59" s="17">
        <f t="shared" si="5"/>
        <v>11.921095522224</v>
      </c>
      <c r="N59" s="20">
        <f t="shared" si="2"/>
        <v>13.76886532816872</v>
      </c>
      <c r="O59" s="21">
        <f t="shared" si="3"/>
        <v>0.0021010903571032045</v>
      </c>
    </row>
    <row r="60" spans="2:15" ht="12.75" thickBot="1">
      <c r="B60" s="4">
        <v>57</v>
      </c>
      <c r="C60" s="5" t="s">
        <v>103</v>
      </c>
      <c r="D60" s="5" t="s">
        <v>104</v>
      </c>
      <c r="E60" s="6">
        <v>0.05</v>
      </c>
      <c r="F60" s="6">
        <v>52</v>
      </c>
      <c r="G60" s="7">
        <f>239.511492*E60*F60</f>
        <v>622.7298792000001</v>
      </c>
      <c r="H60" s="7">
        <f>1.41696*E60*F60</f>
        <v>3.6840960000000003</v>
      </c>
      <c r="I60" s="7">
        <f t="shared" si="6"/>
        <v>0</v>
      </c>
      <c r="J60" s="7">
        <f>228.014940384*E60*F60</f>
        <v>592.8388449984001</v>
      </c>
      <c r="K60" s="7">
        <f>49.23905620032*E60*F60</f>
        <v>128.021546120832</v>
      </c>
      <c r="L60" s="14">
        <f>47.9022984*E60*F60</f>
        <v>124.54597584000001</v>
      </c>
      <c r="M60" s="17">
        <f t="shared" si="5"/>
        <v>1471.820342159232</v>
      </c>
      <c r="N60" s="20">
        <f t="shared" si="2"/>
        <v>1699.9524951939131</v>
      </c>
      <c r="O60" s="21">
        <f t="shared" si="3"/>
        <v>0.25940799841206025</v>
      </c>
    </row>
    <row r="61" spans="2:15" ht="12.75" thickBot="1">
      <c r="B61" s="22"/>
      <c r="C61" s="23" t="s">
        <v>248</v>
      </c>
      <c r="D61" s="23"/>
      <c r="E61" s="23"/>
      <c r="F61" s="24"/>
      <c r="G61" s="9">
        <f aca="true" t="shared" si="8" ref="G61:M61">SUM(G4:G60)</f>
        <v>12014.152954665935</v>
      </c>
      <c r="H61" s="9">
        <f t="shared" si="8"/>
        <v>10423.08671615153</v>
      </c>
      <c r="I61" s="9">
        <f t="shared" si="8"/>
        <v>13.181312</v>
      </c>
      <c r="J61" s="9">
        <f t="shared" si="8"/>
        <v>11443.27969176677</v>
      </c>
      <c r="K61" s="9">
        <f t="shared" si="8"/>
        <v>3558.83857083135</v>
      </c>
      <c r="L61" s="15">
        <f t="shared" si="8"/>
        <v>2404.050355413187</v>
      </c>
      <c r="M61" s="18">
        <f t="shared" si="8"/>
        <v>39856.589600828775</v>
      </c>
      <c r="N61" s="18">
        <f>SUM(N4:N60)</f>
        <v>46034.360988957225</v>
      </c>
      <c r="O61" s="18">
        <f>SUM(O4:O60)</f>
        <v>7.024714794139843</v>
      </c>
    </row>
    <row r="62" spans="2:15" ht="24">
      <c r="B62" s="16"/>
      <c r="C62" s="33" t="s">
        <v>249</v>
      </c>
      <c r="D62" s="25"/>
      <c r="E62" s="40"/>
      <c r="F62" s="41"/>
      <c r="G62" s="41"/>
      <c r="H62" s="41"/>
      <c r="I62" s="41"/>
      <c r="J62" s="41"/>
      <c r="K62" s="41"/>
      <c r="L62" s="41"/>
      <c r="M62" s="42"/>
      <c r="N62" s="16"/>
      <c r="O62" s="16"/>
    </row>
    <row r="63" spans="2:15" ht="24">
      <c r="B63" s="16">
        <v>58</v>
      </c>
      <c r="C63" s="34" t="s">
        <v>250</v>
      </c>
      <c r="D63" s="31" t="s">
        <v>251</v>
      </c>
      <c r="E63" s="43" t="s">
        <v>252</v>
      </c>
      <c r="F63" s="44"/>
      <c r="G63" s="44"/>
      <c r="H63" s="44"/>
      <c r="I63" s="44"/>
      <c r="J63" s="44"/>
      <c r="K63" s="44"/>
      <c r="L63" s="44"/>
      <c r="M63" s="45"/>
      <c r="N63" s="20">
        <f>3.89*546.1*12</f>
        <v>25491.948000000004</v>
      </c>
      <c r="O63" s="21">
        <v>3.89</v>
      </c>
    </row>
    <row r="64" spans="2:15" ht="24">
      <c r="B64" s="26">
        <v>59</v>
      </c>
      <c r="C64" s="35" t="s">
        <v>253</v>
      </c>
      <c r="D64" s="32" t="s">
        <v>251</v>
      </c>
      <c r="E64" s="46" t="s">
        <v>254</v>
      </c>
      <c r="F64" s="47"/>
      <c r="G64" s="47"/>
      <c r="H64" s="47"/>
      <c r="I64" s="47"/>
      <c r="J64" s="47"/>
      <c r="K64" s="47"/>
      <c r="L64" s="47"/>
      <c r="M64" s="48"/>
      <c r="N64" s="27">
        <f>1416/2</f>
        <v>708</v>
      </c>
      <c r="O64" s="21">
        <f>N64/546.1/12</f>
        <v>0.10803882072880423</v>
      </c>
    </row>
    <row r="65" spans="2:15" ht="24">
      <c r="B65" s="16">
        <v>60</v>
      </c>
      <c r="C65" s="34" t="s">
        <v>255</v>
      </c>
      <c r="D65" s="31" t="s">
        <v>251</v>
      </c>
      <c r="E65" s="49" t="s">
        <v>256</v>
      </c>
      <c r="F65" s="50"/>
      <c r="G65" s="50"/>
      <c r="H65" s="50"/>
      <c r="I65" s="50"/>
      <c r="J65" s="50"/>
      <c r="K65" s="50"/>
      <c r="L65" s="50"/>
      <c r="M65" s="51"/>
      <c r="N65" s="28">
        <v>279.69</v>
      </c>
      <c r="O65" s="21">
        <f>N65/546.1/12</f>
        <v>0.04267991210401025</v>
      </c>
    </row>
    <row r="66" spans="2:15" ht="36">
      <c r="B66" s="26">
        <v>61</v>
      </c>
      <c r="C66" s="34" t="s">
        <v>259</v>
      </c>
      <c r="D66" s="31" t="s">
        <v>251</v>
      </c>
      <c r="E66" s="43" t="s">
        <v>260</v>
      </c>
      <c r="F66" s="56"/>
      <c r="G66" s="56"/>
      <c r="H66" s="56"/>
      <c r="I66" s="56"/>
      <c r="J66" s="56"/>
      <c r="K66" s="56"/>
      <c r="L66" s="56"/>
      <c r="M66" s="57"/>
      <c r="N66" s="28">
        <f>9*171.6</f>
        <v>1544.3999999999999</v>
      </c>
      <c r="O66" s="21">
        <f>N66/546.1/12</f>
        <v>0.23567112250503566</v>
      </c>
    </row>
    <row r="67" spans="2:15" ht="24">
      <c r="B67" s="16">
        <v>62</v>
      </c>
      <c r="C67" s="5" t="s">
        <v>261</v>
      </c>
      <c r="D67" s="25" t="s">
        <v>251</v>
      </c>
      <c r="E67" s="79" t="s">
        <v>262</v>
      </c>
      <c r="F67" s="80"/>
      <c r="G67" s="80"/>
      <c r="H67" s="80"/>
      <c r="I67" s="80"/>
      <c r="J67" s="80"/>
      <c r="K67" s="80"/>
      <c r="L67" s="80"/>
      <c r="M67" s="81"/>
      <c r="N67" s="20">
        <f>(1680+2700+107)/2</f>
        <v>2243.5</v>
      </c>
      <c r="O67" s="21">
        <f>N67/546.1/12</f>
        <v>0.342351828114509</v>
      </c>
    </row>
    <row r="68" spans="2:15" ht="24">
      <c r="B68" s="26">
        <v>63</v>
      </c>
      <c r="C68" s="5" t="s">
        <v>263</v>
      </c>
      <c r="D68" s="25" t="s">
        <v>251</v>
      </c>
      <c r="E68" s="82" t="s">
        <v>264</v>
      </c>
      <c r="F68" s="44"/>
      <c r="G68" s="44"/>
      <c r="H68" s="44"/>
      <c r="I68" s="44"/>
      <c r="J68" s="44"/>
      <c r="K68" s="44"/>
      <c r="L68" s="44"/>
      <c r="M68" s="45"/>
      <c r="N68" s="20">
        <f>5000/2</f>
        <v>2500</v>
      </c>
      <c r="O68" s="21">
        <f>N68/546.1/12</f>
        <v>0.3814930110480376</v>
      </c>
    </row>
    <row r="69" spans="2:15" ht="12">
      <c r="B69" s="16"/>
      <c r="C69" s="29" t="s">
        <v>257</v>
      </c>
      <c r="D69" s="25"/>
      <c r="E69" s="53" t="s">
        <v>258</v>
      </c>
      <c r="F69" s="54"/>
      <c r="G69" s="54"/>
      <c r="H69" s="54"/>
      <c r="I69" s="54"/>
      <c r="J69" s="54"/>
      <c r="K69" s="54"/>
      <c r="L69" s="54"/>
      <c r="M69" s="55"/>
      <c r="N69" s="21">
        <f>SUM(N61:N68)</f>
        <v>78801.89898895723</v>
      </c>
      <c r="O69" s="30">
        <f>SUM(O61:O68)</f>
        <v>12.02494948864024</v>
      </c>
    </row>
    <row r="70" spans="4:11" ht="15.75">
      <c r="D70" s="11"/>
      <c r="E70" s="36"/>
      <c r="F70" s="36"/>
      <c r="G70" s="10"/>
      <c r="H70" s="10"/>
      <c r="I70" s="11"/>
      <c r="J70" s="36"/>
      <c r="K70" s="36"/>
    </row>
    <row r="71" spans="4:11" ht="15.75">
      <c r="D71" s="11"/>
      <c r="E71" s="36"/>
      <c r="F71" s="36"/>
      <c r="G71" s="10"/>
      <c r="H71" s="10"/>
      <c r="I71" s="11"/>
      <c r="J71" s="36"/>
      <c r="K71" s="36"/>
    </row>
    <row r="72" spans="4:11" ht="15.75">
      <c r="D72" s="11"/>
      <c r="E72" s="10"/>
      <c r="F72" s="10"/>
      <c r="G72" s="10"/>
      <c r="H72" s="10"/>
      <c r="I72" s="11"/>
      <c r="J72" s="36"/>
      <c r="K72" s="36"/>
    </row>
  </sheetData>
  <sheetProtection formatCells="0" formatColumns="0" formatRows="0" insertColumns="0" insertRows="0" insertHyperlinks="0" deleteColumns="0" deleteRows="0" sort="0" autoFilter="0" pivotTables="0"/>
  <mergeCells count="15">
    <mergeCell ref="B1:M1"/>
    <mergeCell ref="E69:M69"/>
    <mergeCell ref="E66:M66"/>
    <mergeCell ref="E67:M67"/>
    <mergeCell ref="E68:M68"/>
    <mergeCell ref="E70:F70"/>
    <mergeCell ref="J70:K70"/>
    <mergeCell ref="E71:F71"/>
    <mergeCell ref="J71:K71"/>
    <mergeCell ref="J72:K72"/>
    <mergeCell ref="B2:M2"/>
    <mergeCell ref="E62:M62"/>
    <mergeCell ref="E63:M63"/>
    <mergeCell ref="E64:M64"/>
    <mergeCell ref="E65:M65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B31">
      <selection activeCell="B31" sqref="A1:IV16384"/>
    </sheetView>
  </sheetViews>
  <sheetFormatPr defaultColWidth="9.140625" defaultRowHeight="12"/>
  <cols>
    <col min="1" max="1" width="0" style="58" hidden="1" customWidth="1"/>
    <col min="2" max="2" width="7.00390625" style="58" customWidth="1"/>
    <col min="3" max="3" width="60.00390625" style="58" customWidth="1"/>
    <col min="4" max="4" width="13.00390625" style="58" customWidth="1"/>
    <col min="5" max="5" width="11.00390625" style="58" customWidth="1"/>
    <col min="6" max="6" width="13.00390625" style="58" customWidth="1"/>
    <col min="7" max="7" width="15.00390625" style="58" customWidth="1"/>
    <col min="8" max="16384" width="9.140625" style="58" customWidth="1"/>
  </cols>
  <sheetData>
    <row r="1" spans="2:7" ht="27.75" customHeight="1">
      <c r="B1" s="59" t="s">
        <v>106</v>
      </c>
      <c r="C1" s="59"/>
      <c r="D1" s="59"/>
      <c r="E1" s="59"/>
      <c r="F1" s="59"/>
      <c r="G1" s="59"/>
    </row>
    <row r="3" spans="1:7" ht="27">
      <c r="A3" s="60"/>
      <c r="B3" s="61" t="s">
        <v>0</v>
      </c>
      <c r="C3" s="61" t="s">
        <v>107</v>
      </c>
      <c r="D3" s="62" t="s">
        <v>108</v>
      </c>
      <c r="E3" s="62" t="s">
        <v>3</v>
      </c>
      <c r="F3" s="62" t="s">
        <v>109</v>
      </c>
      <c r="G3" s="63" t="s">
        <v>11</v>
      </c>
    </row>
    <row r="4" spans="2:7" ht="16.5">
      <c r="B4" s="64" t="s">
        <v>110</v>
      </c>
      <c r="C4" s="64"/>
      <c r="D4" s="64"/>
      <c r="E4" s="64"/>
      <c r="F4" s="64"/>
      <c r="G4" s="64"/>
    </row>
    <row r="5" spans="2:7" ht="12">
      <c r="B5" s="65">
        <v>1</v>
      </c>
      <c r="C5" s="66" t="s">
        <v>111</v>
      </c>
      <c r="D5" s="66" t="s">
        <v>112</v>
      </c>
      <c r="E5" s="67">
        <v>0.0485</v>
      </c>
      <c r="F5" s="68">
        <v>98.5644</v>
      </c>
      <c r="G5" s="69">
        <f aca="true" t="shared" si="0" ref="G5:G40">E5*F5</f>
        <v>4.7803734</v>
      </c>
    </row>
    <row r="6" spans="2:7" ht="12">
      <c r="B6" s="70">
        <v>2</v>
      </c>
      <c r="C6" s="71" t="s">
        <v>113</v>
      </c>
      <c r="D6" s="71" t="s">
        <v>112</v>
      </c>
      <c r="E6" s="72">
        <v>0.097</v>
      </c>
      <c r="F6" s="73">
        <v>106.9266</v>
      </c>
      <c r="G6" s="74">
        <f t="shared" si="0"/>
        <v>10.3718802</v>
      </c>
    </row>
    <row r="7" spans="2:7" ht="12">
      <c r="B7" s="70">
        <v>3</v>
      </c>
      <c r="C7" s="71" t="s">
        <v>114</v>
      </c>
      <c r="D7" s="71" t="s">
        <v>112</v>
      </c>
      <c r="E7" s="72">
        <v>0.1455</v>
      </c>
      <c r="F7" s="73">
        <v>116.9322</v>
      </c>
      <c r="G7" s="74">
        <f t="shared" si="0"/>
        <v>17.0136351</v>
      </c>
    </row>
    <row r="8" spans="2:7" ht="12">
      <c r="B8" s="70">
        <v>4</v>
      </c>
      <c r="C8" s="71" t="s">
        <v>115</v>
      </c>
      <c r="D8" s="71" t="s">
        <v>112</v>
      </c>
      <c r="E8" s="72">
        <v>0.0485</v>
      </c>
      <c r="F8" s="73">
        <v>131.87460000000002</v>
      </c>
      <c r="G8" s="74">
        <f t="shared" si="0"/>
        <v>6.395918100000001</v>
      </c>
    </row>
    <row r="9" spans="2:7" ht="12">
      <c r="B9" s="70">
        <v>5</v>
      </c>
      <c r="C9" s="71" t="s">
        <v>116</v>
      </c>
      <c r="D9" s="71" t="s">
        <v>112</v>
      </c>
      <c r="E9" s="72">
        <v>49.525</v>
      </c>
      <c r="F9" s="73">
        <v>98.5644</v>
      </c>
      <c r="G9" s="74">
        <f t="shared" si="0"/>
        <v>4881.4019100000005</v>
      </c>
    </row>
    <row r="10" spans="2:7" ht="12">
      <c r="B10" s="70">
        <v>6</v>
      </c>
      <c r="C10" s="71" t="s">
        <v>117</v>
      </c>
      <c r="D10" s="71" t="s">
        <v>112</v>
      </c>
      <c r="E10" s="72">
        <v>0.1216</v>
      </c>
      <c r="F10" s="73">
        <v>131.87460000000002</v>
      </c>
      <c r="G10" s="74">
        <f t="shared" si="0"/>
        <v>16.035951360000002</v>
      </c>
    </row>
    <row r="11" spans="2:7" ht="12">
      <c r="B11" s="70">
        <v>7</v>
      </c>
      <c r="C11" s="71" t="s">
        <v>118</v>
      </c>
      <c r="D11" s="71" t="s">
        <v>112</v>
      </c>
      <c r="E11" s="72">
        <v>0.48952</v>
      </c>
      <c r="F11" s="73">
        <v>116.9322</v>
      </c>
      <c r="G11" s="74">
        <f t="shared" si="0"/>
        <v>57.240650544</v>
      </c>
    </row>
    <row r="12" spans="2:7" ht="12">
      <c r="B12" s="70">
        <v>8</v>
      </c>
      <c r="C12" s="71" t="s">
        <v>119</v>
      </c>
      <c r="D12" s="71" t="s">
        <v>112</v>
      </c>
      <c r="E12" s="72">
        <v>0.3</v>
      </c>
      <c r="F12" s="73">
        <v>116.9322</v>
      </c>
      <c r="G12" s="74">
        <f t="shared" si="0"/>
        <v>35.07966</v>
      </c>
    </row>
    <row r="13" spans="2:7" ht="24">
      <c r="B13" s="70">
        <v>9</v>
      </c>
      <c r="C13" s="71" t="s">
        <v>120</v>
      </c>
      <c r="D13" s="71" t="s">
        <v>112</v>
      </c>
      <c r="E13" s="72">
        <v>1.456</v>
      </c>
      <c r="F13" s="73">
        <v>131.87460000000002</v>
      </c>
      <c r="G13" s="74">
        <f t="shared" si="0"/>
        <v>192.0094176</v>
      </c>
    </row>
    <row r="14" spans="2:7" ht="12">
      <c r="B14" s="70">
        <v>10</v>
      </c>
      <c r="C14" s="71" t="s">
        <v>121</v>
      </c>
      <c r="D14" s="71" t="s">
        <v>112</v>
      </c>
      <c r="E14" s="72">
        <v>0.832</v>
      </c>
      <c r="F14" s="73">
        <v>116.9322</v>
      </c>
      <c r="G14" s="74">
        <f t="shared" si="0"/>
        <v>97.28759039999998</v>
      </c>
    </row>
    <row r="15" spans="2:7" ht="12">
      <c r="B15" s="70">
        <v>11</v>
      </c>
      <c r="C15" s="71" t="s">
        <v>122</v>
      </c>
      <c r="D15" s="71" t="s">
        <v>112</v>
      </c>
      <c r="E15" s="72">
        <v>2.057</v>
      </c>
      <c r="F15" s="73">
        <v>131.87460000000002</v>
      </c>
      <c r="G15" s="74">
        <f t="shared" si="0"/>
        <v>271.26605220000005</v>
      </c>
    </row>
    <row r="16" spans="2:7" ht="24">
      <c r="B16" s="70">
        <v>12</v>
      </c>
      <c r="C16" s="71" t="s">
        <v>123</v>
      </c>
      <c r="D16" s="71" t="s">
        <v>112</v>
      </c>
      <c r="E16" s="72">
        <v>1.72</v>
      </c>
      <c r="F16" s="73">
        <v>131.87460000000002</v>
      </c>
      <c r="G16" s="74">
        <f t="shared" si="0"/>
        <v>226.82431200000002</v>
      </c>
    </row>
    <row r="17" spans="2:7" ht="24">
      <c r="B17" s="70">
        <v>13</v>
      </c>
      <c r="C17" s="71" t="s">
        <v>124</v>
      </c>
      <c r="D17" s="71" t="s">
        <v>112</v>
      </c>
      <c r="E17" s="72">
        <v>1.2</v>
      </c>
      <c r="F17" s="73">
        <v>202.19760000000002</v>
      </c>
      <c r="G17" s="74">
        <f t="shared" si="0"/>
        <v>242.63712</v>
      </c>
    </row>
    <row r="18" spans="2:7" ht="12">
      <c r="B18" s="70">
        <v>14</v>
      </c>
      <c r="C18" s="71" t="s">
        <v>125</v>
      </c>
      <c r="D18" s="71" t="s">
        <v>112</v>
      </c>
      <c r="E18" s="72">
        <v>0.4608</v>
      </c>
      <c r="F18" s="73">
        <v>131.87460000000002</v>
      </c>
      <c r="G18" s="74">
        <f t="shared" si="0"/>
        <v>60.767815680000005</v>
      </c>
    </row>
    <row r="19" spans="2:7" ht="12">
      <c r="B19" s="70">
        <v>15</v>
      </c>
      <c r="C19" s="71" t="s">
        <v>126</v>
      </c>
      <c r="D19" s="71" t="s">
        <v>112</v>
      </c>
      <c r="E19" s="72">
        <v>8.4485</v>
      </c>
      <c r="F19" s="73">
        <v>98.5644</v>
      </c>
      <c r="G19" s="74">
        <f t="shared" si="0"/>
        <v>832.7213333999999</v>
      </c>
    </row>
    <row r="20" spans="2:7" ht="24">
      <c r="B20" s="70">
        <v>16</v>
      </c>
      <c r="C20" s="71" t="s">
        <v>127</v>
      </c>
      <c r="D20" s="71" t="s">
        <v>112</v>
      </c>
      <c r="E20" s="72">
        <v>0.7</v>
      </c>
      <c r="F20" s="73">
        <v>106.9266</v>
      </c>
      <c r="G20" s="74">
        <f t="shared" si="0"/>
        <v>74.84862</v>
      </c>
    </row>
    <row r="21" spans="2:7" ht="24">
      <c r="B21" s="70">
        <v>17</v>
      </c>
      <c r="C21" s="71" t="s">
        <v>128</v>
      </c>
      <c r="D21" s="71" t="s">
        <v>112</v>
      </c>
      <c r="E21" s="72">
        <v>0.6445</v>
      </c>
      <c r="F21" s="73">
        <v>116.9322</v>
      </c>
      <c r="G21" s="74">
        <f t="shared" si="0"/>
        <v>75.36280289999999</v>
      </c>
    </row>
    <row r="22" spans="2:7" ht="24">
      <c r="B22" s="70">
        <v>18</v>
      </c>
      <c r="C22" s="71" t="s">
        <v>129</v>
      </c>
      <c r="D22" s="71" t="s">
        <v>130</v>
      </c>
      <c r="E22" s="72">
        <v>0.128</v>
      </c>
      <c r="F22" s="73">
        <v>131.87460000000002</v>
      </c>
      <c r="G22" s="74">
        <f t="shared" si="0"/>
        <v>16.8799488</v>
      </c>
    </row>
    <row r="23" spans="2:7" ht="24">
      <c r="B23" s="70">
        <v>19</v>
      </c>
      <c r="C23" s="71" t="s">
        <v>131</v>
      </c>
      <c r="D23" s="71" t="s">
        <v>112</v>
      </c>
      <c r="E23" s="72">
        <v>1.40868</v>
      </c>
      <c r="F23" s="73">
        <v>131.87460000000002</v>
      </c>
      <c r="G23" s="74">
        <f t="shared" si="0"/>
        <v>185.76911152800002</v>
      </c>
    </row>
    <row r="24" spans="2:7" ht="12">
      <c r="B24" s="70">
        <v>20</v>
      </c>
      <c r="C24" s="71" t="s">
        <v>132</v>
      </c>
      <c r="D24" s="71" t="s">
        <v>112</v>
      </c>
      <c r="E24" s="72">
        <v>0.168</v>
      </c>
      <c r="F24" s="73">
        <v>116.9322</v>
      </c>
      <c r="G24" s="74">
        <f t="shared" si="0"/>
        <v>19.6446096</v>
      </c>
    </row>
    <row r="25" spans="2:7" ht="12">
      <c r="B25" s="70">
        <v>21</v>
      </c>
      <c r="C25" s="71" t="s">
        <v>133</v>
      </c>
      <c r="D25" s="71" t="s">
        <v>112</v>
      </c>
      <c r="E25" s="72">
        <v>1.59565</v>
      </c>
      <c r="F25" s="73">
        <v>106.9266</v>
      </c>
      <c r="G25" s="74">
        <f t="shared" si="0"/>
        <v>170.61742929</v>
      </c>
    </row>
    <row r="26" spans="2:7" ht="12">
      <c r="B26" s="70">
        <v>22</v>
      </c>
      <c r="C26" s="71" t="s">
        <v>134</v>
      </c>
      <c r="D26" s="71" t="s">
        <v>112</v>
      </c>
      <c r="E26" s="72">
        <v>5.4835</v>
      </c>
      <c r="F26" s="73">
        <v>116.9322</v>
      </c>
      <c r="G26" s="74">
        <f t="shared" si="0"/>
        <v>641.1977187</v>
      </c>
    </row>
    <row r="27" spans="2:7" ht="12">
      <c r="B27" s="70">
        <v>23</v>
      </c>
      <c r="C27" s="71" t="s">
        <v>135</v>
      </c>
      <c r="D27" s="71" t="s">
        <v>112</v>
      </c>
      <c r="E27" s="72">
        <v>18.98405</v>
      </c>
      <c r="F27" s="73">
        <v>131.87460000000002</v>
      </c>
      <c r="G27" s="74">
        <f t="shared" si="0"/>
        <v>2503.51400013</v>
      </c>
    </row>
    <row r="28" spans="2:7" ht="12">
      <c r="B28" s="70">
        <v>24</v>
      </c>
      <c r="C28" s="71" t="s">
        <v>136</v>
      </c>
      <c r="D28" s="71" t="s">
        <v>112</v>
      </c>
      <c r="E28" s="72">
        <v>0.142</v>
      </c>
      <c r="F28" s="73">
        <v>152.0244</v>
      </c>
      <c r="G28" s="74">
        <f t="shared" si="0"/>
        <v>21.5874648</v>
      </c>
    </row>
    <row r="29" spans="2:7" ht="12">
      <c r="B29" s="70">
        <v>25</v>
      </c>
      <c r="C29" s="71" t="s">
        <v>137</v>
      </c>
      <c r="D29" s="71" t="s">
        <v>112</v>
      </c>
      <c r="E29" s="72">
        <v>0.142</v>
      </c>
      <c r="F29" s="73">
        <v>177.11100000000002</v>
      </c>
      <c r="G29" s="74">
        <f t="shared" si="0"/>
        <v>25.149762</v>
      </c>
    </row>
    <row r="30" spans="2:7" ht="12">
      <c r="B30" s="70">
        <v>26</v>
      </c>
      <c r="C30" s="71" t="s">
        <v>138</v>
      </c>
      <c r="D30" s="71" t="s">
        <v>112</v>
      </c>
      <c r="E30" s="72">
        <v>0.115</v>
      </c>
      <c r="F30" s="73">
        <v>106.9266</v>
      </c>
      <c r="G30" s="74">
        <f t="shared" si="0"/>
        <v>12.296559</v>
      </c>
    </row>
    <row r="31" spans="2:7" ht="12">
      <c r="B31" s="70">
        <v>27</v>
      </c>
      <c r="C31" s="71" t="s">
        <v>139</v>
      </c>
      <c r="D31" s="71" t="s">
        <v>112</v>
      </c>
      <c r="E31" s="72">
        <v>0.115</v>
      </c>
      <c r="F31" s="73">
        <v>116.9322</v>
      </c>
      <c r="G31" s="74">
        <f t="shared" si="0"/>
        <v>13.447203</v>
      </c>
    </row>
    <row r="32" spans="2:7" ht="12">
      <c r="B32" s="70">
        <v>28</v>
      </c>
      <c r="C32" s="71" t="s">
        <v>140</v>
      </c>
      <c r="D32" s="71" t="s">
        <v>112</v>
      </c>
      <c r="E32" s="72">
        <v>2.436</v>
      </c>
      <c r="F32" s="73">
        <v>116.9322</v>
      </c>
      <c r="G32" s="74">
        <f t="shared" si="0"/>
        <v>284.8468392</v>
      </c>
    </row>
    <row r="33" spans="2:7" ht="12">
      <c r="B33" s="70">
        <v>29</v>
      </c>
      <c r="C33" s="71" t="s">
        <v>141</v>
      </c>
      <c r="D33" s="71" t="s">
        <v>112</v>
      </c>
      <c r="E33" s="72">
        <v>2.08</v>
      </c>
      <c r="F33" s="73">
        <v>131.87460000000002</v>
      </c>
      <c r="G33" s="74">
        <f t="shared" si="0"/>
        <v>274.29916800000007</v>
      </c>
    </row>
    <row r="34" spans="2:7" ht="12">
      <c r="B34" s="70">
        <v>30</v>
      </c>
      <c r="C34" s="71" t="s">
        <v>142</v>
      </c>
      <c r="D34" s="71" t="s">
        <v>112</v>
      </c>
      <c r="E34" s="72">
        <v>0.208</v>
      </c>
      <c r="F34" s="73">
        <v>131.87460000000002</v>
      </c>
      <c r="G34" s="74">
        <f t="shared" si="0"/>
        <v>27.4299168</v>
      </c>
    </row>
    <row r="35" spans="2:7" ht="12">
      <c r="B35" s="70">
        <v>31</v>
      </c>
      <c r="C35" s="71" t="s">
        <v>143</v>
      </c>
      <c r="D35" s="71" t="s">
        <v>112</v>
      </c>
      <c r="E35" s="72">
        <v>0.36</v>
      </c>
      <c r="F35" s="73">
        <v>116.9322</v>
      </c>
      <c r="G35" s="74">
        <f t="shared" si="0"/>
        <v>42.095591999999996</v>
      </c>
    </row>
    <row r="36" spans="2:7" ht="24">
      <c r="B36" s="70">
        <v>32</v>
      </c>
      <c r="C36" s="71" t="s">
        <v>144</v>
      </c>
      <c r="D36" s="71" t="s">
        <v>145</v>
      </c>
      <c r="E36" s="72">
        <v>1.40868</v>
      </c>
      <c r="F36" s="73">
        <v>152.0244</v>
      </c>
      <c r="G36" s="74">
        <f t="shared" si="0"/>
        <v>214.153731792</v>
      </c>
    </row>
    <row r="37" spans="2:7" ht="24">
      <c r="B37" s="70">
        <v>33</v>
      </c>
      <c r="C37" s="71" t="s">
        <v>146</v>
      </c>
      <c r="D37" s="71" t="s">
        <v>112</v>
      </c>
      <c r="E37" s="72">
        <v>2.35</v>
      </c>
      <c r="F37" s="73">
        <v>106.9266</v>
      </c>
      <c r="G37" s="74">
        <f t="shared" si="0"/>
        <v>251.27751</v>
      </c>
    </row>
    <row r="38" spans="2:7" ht="24">
      <c r="B38" s="70">
        <v>34</v>
      </c>
      <c r="C38" s="71" t="s">
        <v>147</v>
      </c>
      <c r="D38" s="71" t="s">
        <v>112</v>
      </c>
      <c r="E38" s="72">
        <v>3.7353</v>
      </c>
      <c r="F38" s="73">
        <v>116.9322</v>
      </c>
      <c r="G38" s="74">
        <f t="shared" si="0"/>
        <v>436.77684666</v>
      </c>
    </row>
    <row r="39" spans="2:7" ht="24">
      <c r="B39" s="70">
        <v>35</v>
      </c>
      <c r="C39" s="71" t="s">
        <v>148</v>
      </c>
      <c r="D39" s="71" t="s">
        <v>112</v>
      </c>
      <c r="E39" s="72">
        <v>2.41</v>
      </c>
      <c r="F39" s="73">
        <v>124.3308</v>
      </c>
      <c r="G39" s="74">
        <f t="shared" si="0"/>
        <v>299.637228</v>
      </c>
    </row>
    <row r="40" spans="2:7" ht="24">
      <c r="B40" s="70">
        <v>36</v>
      </c>
      <c r="C40" s="71" t="s">
        <v>149</v>
      </c>
      <c r="D40" s="71" t="s">
        <v>112</v>
      </c>
      <c r="E40" s="72">
        <v>1.58868</v>
      </c>
      <c r="F40" s="73">
        <v>131.87460000000002</v>
      </c>
      <c r="G40" s="74">
        <f t="shared" si="0"/>
        <v>209.50653952800005</v>
      </c>
    </row>
    <row r="41" spans="2:7" ht="12">
      <c r="B41" s="75" t="s">
        <v>105</v>
      </c>
      <c r="C41" s="76"/>
      <c r="D41" s="76"/>
      <c r="E41" s="76"/>
      <c r="F41" s="77"/>
      <c r="G41" s="78">
        <f>SUM(G5:G40)</f>
        <v>12752.172221711999</v>
      </c>
    </row>
    <row r="42" spans="2:7" ht="16.5">
      <c r="B42" s="64" t="s">
        <v>150</v>
      </c>
      <c r="C42" s="64"/>
      <c r="D42" s="64"/>
      <c r="E42" s="64"/>
      <c r="F42" s="64"/>
      <c r="G42" s="64"/>
    </row>
    <row r="43" spans="2:7" ht="24">
      <c r="B43" s="65">
        <v>37</v>
      </c>
      <c r="C43" s="66" t="s">
        <v>151</v>
      </c>
      <c r="D43" s="66" t="s">
        <v>152</v>
      </c>
      <c r="E43" s="67">
        <v>0.22</v>
      </c>
      <c r="F43" s="68">
        <v>31.4757</v>
      </c>
      <c r="G43" s="69">
        <f aca="true" t="shared" si="1" ref="G43:G74">E43*F43</f>
        <v>6.924654</v>
      </c>
    </row>
    <row r="44" spans="2:7" ht="24">
      <c r="B44" s="70">
        <v>38</v>
      </c>
      <c r="C44" s="71" t="s">
        <v>153</v>
      </c>
      <c r="D44" s="71" t="s">
        <v>152</v>
      </c>
      <c r="E44" s="72">
        <v>0.22</v>
      </c>
      <c r="F44" s="73">
        <v>116.0259</v>
      </c>
      <c r="G44" s="74">
        <f t="shared" si="1"/>
        <v>25.525698</v>
      </c>
    </row>
    <row r="45" spans="2:7" ht="12">
      <c r="B45" s="70">
        <v>39</v>
      </c>
      <c r="C45" s="71" t="s">
        <v>154</v>
      </c>
      <c r="D45" s="71" t="s">
        <v>155</v>
      </c>
      <c r="E45" s="72">
        <v>0.13275</v>
      </c>
      <c r="F45" s="73">
        <v>2689.2966</v>
      </c>
      <c r="G45" s="74">
        <f t="shared" si="1"/>
        <v>357.00412365000005</v>
      </c>
    </row>
    <row r="46" spans="2:7" ht="12">
      <c r="B46" s="70">
        <v>40</v>
      </c>
      <c r="C46" s="71" t="s">
        <v>156</v>
      </c>
      <c r="D46" s="71" t="s">
        <v>157</v>
      </c>
      <c r="E46" s="72">
        <v>0.0021</v>
      </c>
      <c r="F46" s="73">
        <v>417.05609999999996</v>
      </c>
      <c r="G46" s="74">
        <f t="shared" si="1"/>
        <v>0.8758178099999998</v>
      </c>
    </row>
    <row r="47" spans="2:7" ht="12">
      <c r="B47" s="70">
        <v>41</v>
      </c>
      <c r="C47" s="71" t="s">
        <v>158</v>
      </c>
      <c r="D47" s="71" t="s">
        <v>155</v>
      </c>
      <c r="E47" s="72">
        <v>5E-05</v>
      </c>
      <c r="F47" s="73">
        <v>39363.7638</v>
      </c>
      <c r="G47" s="74">
        <f t="shared" si="1"/>
        <v>1.9681881900000002</v>
      </c>
    </row>
    <row r="48" spans="2:7" ht="12">
      <c r="B48" s="70">
        <v>42</v>
      </c>
      <c r="C48" s="71" t="s">
        <v>159</v>
      </c>
      <c r="D48" s="71" t="s">
        <v>155</v>
      </c>
      <c r="E48" s="72">
        <v>0.00032</v>
      </c>
      <c r="F48" s="73">
        <v>14545.365</v>
      </c>
      <c r="G48" s="74">
        <f t="shared" si="1"/>
        <v>4.654516800000001</v>
      </c>
    </row>
    <row r="49" spans="2:7" ht="24">
      <c r="B49" s="70">
        <v>43</v>
      </c>
      <c r="C49" s="71" t="s">
        <v>160</v>
      </c>
      <c r="D49" s="71" t="s">
        <v>155</v>
      </c>
      <c r="E49" s="72">
        <v>0.00462</v>
      </c>
      <c r="F49" s="73">
        <v>66421.3653</v>
      </c>
      <c r="G49" s="74">
        <f t="shared" si="1"/>
        <v>306.86670768600004</v>
      </c>
    </row>
    <row r="50" spans="2:7" ht="12">
      <c r="B50" s="70">
        <v>44</v>
      </c>
      <c r="C50" s="71" t="s">
        <v>161</v>
      </c>
      <c r="D50" s="71" t="s">
        <v>155</v>
      </c>
      <c r="E50" s="72">
        <v>0.00074</v>
      </c>
      <c r="F50" s="73">
        <v>86323.29419999999</v>
      </c>
      <c r="G50" s="74">
        <f t="shared" si="1"/>
        <v>63.87923770799999</v>
      </c>
    </row>
    <row r="51" spans="2:7" ht="12">
      <c r="B51" s="70">
        <v>45</v>
      </c>
      <c r="C51" s="71" t="s">
        <v>162</v>
      </c>
      <c r="D51" s="71" t="s">
        <v>152</v>
      </c>
      <c r="E51" s="72">
        <v>1</v>
      </c>
      <c r="F51" s="73">
        <v>227.3286</v>
      </c>
      <c r="G51" s="74">
        <f t="shared" si="1"/>
        <v>227.3286</v>
      </c>
    </row>
    <row r="52" spans="2:7" ht="12">
      <c r="B52" s="70">
        <v>46</v>
      </c>
      <c r="C52" s="71" t="s">
        <v>163</v>
      </c>
      <c r="D52" s="71" t="s">
        <v>164</v>
      </c>
      <c r="E52" s="72">
        <v>0.1</v>
      </c>
      <c r="F52" s="73">
        <v>21.4389</v>
      </c>
      <c r="G52" s="74">
        <f t="shared" si="1"/>
        <v>2.1438900000000003</v>
      </c>
    </row>
    <row r="53" spans="2:7" ht="12">
      <c r="B53" s="70">
        <v>47</v>
      </c>
      <c r="C53" s="71" t="s">
        <v>165</v>
      </c>
      <c r="D53" s="71" t="s">
        <v>155</v>
      </c>
      <c r="E53" s="72">
        <v>0.000316</v>
      </c>
      <c r="F53" s="73">
        <v>153453.6315</v>
      </c>
      <c r="G53" s="74">
        <f t="shared" si="1"/>
        <v>48.491347553999994</v>
      </c>
    </row>
    <row r="54" spans="2:7" ht="12">
      <c r="B54" s="70">
        <v>48</v>
      </c>
      <c r="C54" s="71" t="s">
        <v>166</v>
      </c>
      <c r="D54" s="71" t="s">
        <v>157</v>
      </c>
      <c r="E54" s="72">
        <v>0.77</v>
      </c>
      <c r="F54" s="73">
        <v>20.5656</v>
      </c>
      <c r="G54" s="74">
        <f t="shared" si="1"/>
        <v>15.835512</v>
      </c>
    </row>
    <row r="55" spans="2:7" ht="12">
      <c r="B55" s="70">
        <v>49</v>
      </c>
      <c r="C55" s="71" t="s">
        <v>167</v>
      </c>
      <c r="D55" s="71" t="s">
        <v>168</v>
      </c>
      <c r="E55" s="72">
        <v>0.15568</v>
      </c>
      <c r="F55" s="73">
        <v>206.4555</v>
      </c>
      <c r="G55" s="74">
        <f t="shared" si="1"/>
        <v>32.14099224</v>
      </c>
    </row>
    <row r="56" spans="2:7" ht="12">
      <c r="B56" s="70">
        <v>50</v>
      </c>
      <c r="C56" s="71" t="s">
        <v>169</v>
      </c>
      <c r="D56" s="71" t="s">
        <v>152</v>
      </c>
      <c r="E56" s="72">
        <v>0.732</v>
      </c>
      <c r="F56" s="73">
        <v>39.6183</v>
      </c>
      <c r="G56" s="74">
        <f t="shared" si="1"/>
        <v>29.000595599999997</v>
      </c>
    </row>
    <row r="57" spans="2:7" ht="12">
      <c r="B57" s="70">
        <v>51</v>
      </c>
      <c r="C57" s="71" t="s">
        <v>170</v>
      </c>
      <c r="D57" s="71" t="s">
        <v>152</v>
      </c>
      <c r="E57" s="72">
        <v>14</v>
      </c>
      <c r="F57" s="73">
        <v>62.840700000000005</v>
      </c>
      <c r="G57" s="74">
        <f t="shared" si="1"/>
        <v>879.7698</v>
      </c>
    </row>
    <row r="58" spans="2:7" ht="12">
      <c r="B58" s="70">
        <v>52</v>
      </c>
      <c r="C58" s="71" t="s">
        <v>171</v>
      </c>
      <c r="D58" s="71" t="s">
        <v>164</v>
      </c>
      <c r="E58" s="72">
        <v>0.209</v>
      </c>
      <c r="F58" s="73">
        <v>328.3485</v>
      </c>
      <c r="G58" s="74">
        <f t="shared" si="1"/>
        <v>68.6248365</v>
      </c>
    </row>
    <row r="59" spans="2:7" ht="12">
      <c r="B59" s="70">
        <v>53</v>
      </c>
      <c r="C59" s="71" t="s">
        <v>172</v>
      </c>
      <c r="D59" s="71" t="s">
        <v>155</v>
      </c>
      <c r="E59" s="72">
        <v>0.0034</v>
      </c>
      <c r="F59" s="73">
        <v>5175.0282</v>
      </c>
      <c r="G59" s="74">
        <f t="shared" si="1"/>
        <v>17.59509588</v>
      </c>
    </row>
    <row r="60" spans="2:7" ht="24">
      <c r="B60" s="70">
        <v>54</v>
      </c>
      <c r="C60" s="71" t="s">
        <v>173</v>
      </c>
      <c r="D60" s="71" t="s">
        <v>155</v>
      </c>
      <c r="E60" s="72">
        <v>7E-06</v>
      </c>
      <c r="F60" s="73">
        <v>80923.43430000001</v>
      </c>
      <c r="G60" s="74">
        <f t="shared" si="1"/>
        <v>0.5664640401000001</v>
      </c>
    </row>
    <row r="61" spans="2:7" ht="12">
      <c r="B61" s="70">
        <v>55</v>
      </c>
      <c r="C61" s="71" t="s">
        <v>174</v>
      </c>
      <c r="D61" s="71" t="s">
        <v>164</v>
      </c>
      <c r="E61" s="72">
        <v>0.126</v>
      </c>
      <c r="F61" s="73">
        <v>289.9602</v>
      </c>
      <c r="G61" s="74">
        <f t="shared" si="1"/>
        <v>36.5349852</v>
      </c>
    </row>
    <row r="62" spans="2:7" ht="12">
      <c r="B62" s="70">
        <v>56</v>
      </c>
      <c r="C62" s="71" t="s">
        <v>175</v>
      </c>
      <c r="D62" s="71" t="s">
        <v>164</v>
      </c>
      <c r="E62" s="72">
        <v>0.158</v>
      </c>
      <c r="F62" s="73">
        <v>42.558</v>
      </c>
      <c r="G62" s="74">
        <f t="shared" si="1"/>
        <v>6.724164</v>
      </c>
    </row>
    <row r="63" spans="2:7" ht="12">
      <c r="B63" s="70">
        <v>57</v>
      </c>
      <c r="C63" s="71" t="s">
        <v>176</v>
      </c>
      <c r="D63" s="71" t="s">
        <v>155</v>
      </c>
      <c r="E63" s="72">
        <v>9E-05</v>
      </c>
      <c r="F63" s="73">
        <v>28799.847299999998</v>
      </c>
      <c r="G63" s="74">
        <f t="shared" si="1"/>
        <v>2.591986257</v>
      </c>
    </row>
    <row r="64" spans="2:7" ht="12">
      <c r="B64" s="70">
        <v>58</v>
      </c>
      <c r="C64" s="71" t="s">
        <v>177</v>
      </c>
      <c r="D64" s="71" t="s">
        <v>152</v>
      </c>
      <c r="E64" s="72">
        <v>2</v>
      </c>
      <c r="F64" s="73">
        <v>518.6541</v>
      </c>
      <c r="G64" s="74">
        <f t="shared" si="1"/>
        <v>1037.3082</v>
      </c>
    </row>
    <row r="65" spans="2:7" ht="12">
      <c r="B65" s="70">
        <v>59</v>
      </c>
      <c r="C65" s="71" t="s">
        <v>178</v>
      </c>
      <c r="D65" s="71" t="s">
        <v>164</v>
      </c>
      <c r="E65" s="72">
        <v>0.026</v>
      </c>
      <c r="F65" s="73">
        <v>12.742799999999999</v>
      </c>
      <c r="G65" s="74">
        <f t="shared" si="1"/>
        <v>0.33131279999999996</v>
      </c>
    </row>
    <row r="66" spans="2:7" ht="12">
      <c r="B66" s="70">
        <v>60</v>
      </c>
      <c r="C66" s="71" t="s">
        <v>179</v>
      </c>
      <c r="D66" s="71" t="s">
        <v>157</v>
      </c>
      <c r="E66" s="72">
        <v>0.0048</v>
      </c>
      <c r="F66" s="73">
        <v>61.1433</v>
      </c>
      <c r="G66" s="74">
        <f t="shared" si="1"/>
        <v>0.29348784</v>
      </c>
    </row>
    <row r="67" spans="2:7" ht="12">
      <c r="B67" s="70">
        <v>61</v>
      </c>
      <c r="C67" s="71" t="s">
        <v>180</v>
      </c>
      <c r="D67" s="71" t="s">
        <v>152</v>
      </c>
      <c r="E67" s="72">
        <v>2</v>
      </c>
      <c r="F67" s="73">
        <v>41.0943</v>
      </c>
      <c r="G67" s="74">
        <f t="shared" si="1"/>
        <v>82.1886</v>
      </c>
    </row>
    <row r="68" spans="2:7" ht="12">
      <c r="B68" s="70">
        <v>62</v>
      </c>
      <c r="C68" s="71" t="s">
        <v>181</v>
      </c>
      <c r="D68" s="71" t="s">
        <v>152</v>
      </c>
      <c r="E68" s="72">
        <v>0.1</v>
      </c>
      <c r="F68" s="73">
        <v>568.1493</v>
      </c>
      <c r="G68" s="74">
        <f t="shared" si="1"/>
        <v>56.814930000000004</v>
      </c>
    </row>
    <row r="69" spans="2:7" ht="12">
      <c r="B69" s="70">
        <v>63</v>
      </c>
      <c r="C69" s="71" t="s">
        <v>182</v>
      </c>
      <c r="D69" s="71" t="s">
        <v>155</v>
      </c>
      <c r="E69" s="72">
        <v>2.5E-05</v>
      </c>
      <c r="F69" s="73">
        <v>41587.5423</v>
      </c>
      <c r="G69" s="74">
        <f t="shared" si="1"/>
        <v>1.0396885575</v>
      </c>
    </row>
    <row r="70" spans="2:7" ht="12">
      <c r="B70" s="70">
        <v>64</v>
      </c>
      <c r="C70" s="71" t="s">
        <v>183</v>
      </c>
      <c r="D70" s="71" t="s">
        <v>164</v>
      </c>
      <c r="E70" s="72">
        <v>0.393</v>
      </c>
      <c r="F70" s="73">
        <v>47.5641</v>
      </c>
      <c r="G70" s="74">
        <f t="shared" si="1"/>
        <v>18.692691300000003</v>
      </c>
    </row>
    <row r="71" spans="2:7" ht="12">
      <c r="B71" s="70">
        <v>65</v>
      </c>
      <c r="C71" s="71" t="s">
        <v>184</v>
      </c>
      <c r="D71" s="71" t="s">
        <v>185</v>
      </c>
      <c r="E71" s="72">
        <v>1</v>
      </c>
      <c r="F71" s="73">
        <v>191.65859999999998</v>
      </c>
      <c r="G71" s="74">
        <f t="shared" si="1"/>
        <v>191.65859999999998</v>
      </c>
    </row>
    <row r="72" spans="2:7" ht="12">
      <c r="B72" s="70">
        <v>66</v>
      </c>
      <c r="C72" s="71" t="s">
        <v>186</v>
      </c>
      <c r="D72" s="71" t="s">
        <v>164</v>
      </c>
      <c r="E72" s="72">
        <v>0.077</v>
      </c>
      <c r="F72" s="73">
        <v>61.167899999999996</v>
      </c>
      <c r="G72" s="74">
        <f t="shared" si="1"/>
        <v>4.7099283</v>
      </c>
    </row>
    <row r="73" spans="2:7" ht="24">
      <c r="B73" s="70">
        <v>67</v>
      </c>
      <c r="C73" s="71" t="s">
        <v>187</v>
      </c>
      <c r="D73" s="71" t="s">
        <v>164</v>
      </c>
      <c r="E73" s="72">
        <v>1.2</v>
      </c>
      <c r="F73" s="73">
        <v>119.6667</v>
      </c>
      <c r="G73" s="74">
        <f t="shared" si="1"/>
        <v>143.60004</v>
      </c>
    </row>
    <row r="74" spans="2:7" ht="12">
      <c r="B74" s="70">
        <v>68</v>
      </c>
      <c r="C74" s="71" t="s">
        <v>188</v>
      </c>
      <c r="D74" s="71" t="s">
        <v>164</v>
      </c>
      <c r="E74" s="72">
        <v>0.2</v>
      </c>
      <c r="F74" s="73">
        <v>91.20450000000001</v>
      </c>
      <c r="G74" s="74">
        <f t="shared" si="1"/>
        <v>18.240900000000003</v>
      </c>
    </row>
    <row r="75" spans="2:7" ht="12">
      <c r="B75" s="70">
        <v>69</v>
      </c>
      <c r="C75" s="71" t="s">
        <v>189</v>
      </c>
      <c r="D75" s="71" t="s">
        <v>155</v>
      </c>
      <c r="E75" s="72">
        <v>0.001545</v>
      </c>
      <c r="F75" s="73">
        <v>29884.5474</v>
      </c>
      <c r="G75" s="74">
        <f aca="true" t="shared" si="2" ref="G75:G106">E75*F75</f>
        <v>46.171625733</v>
      </c>
    </row>
    <row r="76" spans="2:7" ht="12">
      <c r="B76" s="70">
        <v>70</v>
      </c>
      <c r="C76" s="71" t="s">
        <v>190</v>
      </c>
      <c r="D76" s="71" t="s">
        <v>152</v>
      </c>
      <c r="E76" s="72">
        <v>2.644</v>
      </c>
      <c r="F76" s="73">
        <v>3.5423999999999998</v>
      </c>
      <c r="G76" s="74">
        <f t="shared" si="2"/>
        <v>9.3661056</v>
      </c>
    </row>
    <row r="77" spans="2:7" ht="12">
      <c r="B77" s="70">
        <v>71</v>
      </c>
      <c r="C77" s="71" t="s">
        <v>191</v>
      </c>
      <c r="D77" s="71" t="s">
        <v>152</v>
      </c>
      <c r="E77" s="72">
        <v>2</v>
      </c>
      <c r="F77" s="73">
        <v>67.01039999999999</v>
      </c>
      <c r="G77" s="74">
        <f t="shared" si="2"/>
        <v>134.02079999999998</v>
      </c>
    </row>
    <row r="78" spans="2:7" ht="12">
      <c r="B78" s="70">
        <v>72</v>
      </c>
      <c r="C78" s="71" t="s">
        <v>192</v>
      </c>
      <c r="D78" s="71" t="s">
        <v>152</v>
      </c>
      <c r="E78" s="72">
        <v>0.1</v>
      </c>
      <c r="F78" s="73">
        <v>73.2342</v>
      </c>
      <c r="G78" s="74">
        <f t="shared" si="2"/>
        <v>7.3234200000000005</v>
      </c>
    </row>
    <row r="79" spans="2:7" ht="12">
      <c r="B79" s="70">
        <v>73</v>
      </c>
      <c r="C79" s="71" t="s">
        <v>193</v>
      </c>
      <c r="D79" s="71" t="s">
        <v>155</v>
      </c>
      <c r="E79" s="72">
        <v>1.2E-05</v>
      </c>
      <c r="F79" s="73">
        <v>37527.3</v>
      </c>
      <c r="G79" s="74">
        <f t="shared" si="2"/>
        <v>0.45032760000000005</v>
      </c>
    </row>
    <row r="80" spans="2:7" ht="12">
      <c r="B80" s="70">
        <v>74</v>
      </c>
      <c r="C80" s="71" t="s">
        <v>194</v>
      </c>
      <c r="D80" s="71" t="s">
        <v>164</v>
      </c>
      <c r="E80" s="72">
        <v>0.0352</v>
      </c>
      <c r="F80" s="73">
        <v>111.1428</v>
      </c>
      <c r="G80" s="74">
        <f t="shared" si="2"/>
        <v>3.91222656</v>
      </c>
    </row>
    <row r="81" spans="2:7" ht="12">
      <c r="B81" s="70">
        <v>75</v>
      </c>
      <c r="C81" s="71" t="s">
        <v>195</v>
      </c>
      <c r="D81" s="71" t="s">
        <v>164</v>
      </c>
      <c r="E81" s="72">
        <v>0.0122</v>
      </c>
      <c r="F81" s="73">
        <v>61.167899999999996</v>
      </c>
      <c r="G81" s="74">
        <f t="shared" si="2"/>
        <v>0.74624838</v>
      </c>
    </row>
    <row r="82" spans="2:7" ht="12">
      <c r="B82" s="70">
        <v>76</v>
      </c>
      <c r="C82" s="71" t="s">
        <v>196</v>
      </c>
      <c r="D82" s="71" t="s">
        <v>164</v>
      </c>
      <c r="E82" s="72">
        <v>0.141</v>
      </c>
      <c r="F82" s="73">
        <v>63.4557</v>
      </c>
      <c r="G82" s="74">
        <f t="shared" si="2"/>
        <v>8.9472537</v>
      </c>
    </row>
    <row r="83" spans="2:7" ht="12">
      <c r="B83" s="70">
        <v>77</v>
      </c>
      <c r="C83" s="71" t="s">
        <v>197</v>
      </c>
      <c r="D83" s="71" t="s">
        <v>152</v>
      </c>
      <c r="E83" s="72">
        <v>5</v>
      </c>
      <c r="F83" s="73">
        <v>23.7636</v>
      </c>
      <c r="G83" s="74">
        <f t="shared" si="2"/>
        <v>118.818</v>
      </c>
    </row>
    <row r="84" spans="2:7" ht="12">
      <c r="B84" s="70">
        <v>78</v>
      </c>
      <c r="C84" s="71" t="s">
        <v>198</v>
      </c>
      <c r="D84" s="71" t="s">
        <v>152</v>
      </c>
      <c r="E84" s="72">
        <v>0.1</v>
      </c>
      <c r="F84" s="73">
        <v>324.9168</v>
      </c>
      <c r="G84" s="74">
        <f t="shared" si="2"/>
        <v>32.49168</v>
      </c>
    </row>
    <row r="85" spans="2:7" ht="12">
      <c r="B85" s="70">
        <v>79</v>
      </c>
      <c r="C85" s="71" t="s">
        <v>199</v>
      </c>
      <c r="D85" s="71" t="s">
        <v>152</v>
      </c>
      <c r="E85" s="72">
        <v>4</v>
      </c>
      <c r="F85" s="73">
        <v>16.9617</v>
      </c>
      <c r="G85" s="74">
        <f t="shared" si="2"/>
        <v>67.8468</v>
      </c>
    </row>
    <row r="86" spans="2:7" ht="12">
      <c r="B86" s="70">
        <v>80</v>
      </c>
      <c r="C86" s="71" t="s">
        <v>200</v>
      </c>
      <c r="D86" s="71" t="s">
        <v>152</v>
      </c>
      <c r="E86" s="72">
        <v>1</v>
      </c>
      <c r="F86" s="73">
        <v>884.247</v>
      </c>
      <c r="G86" s="74">
        <f t="shared" si="2"/>
        <v>884.247</v>
      </c>
    </row>
    <row r="87" spans="2:7" ht="12">
      <c r="B87" s="70">
        <v>81</v>
      </c>
      <c r="C87" s="71" t="s">
        <v>201</v>
      </c>
      <c r="D87" s="71" t="s">
        <v>202</v>
      </c>
      <c r="E87" s="72">
        <v>0.1</v>
      </c>
      <c r="F87" s="73">
        <v>5164.142699999999</v>
      </c>
      <c r="G87" s="74">
        <f t="shared" si="2"/>
        <v>516.41427</v>
      </c>
    </row>
    <row r="88" spans="2:7" ht="36">
      <c r="B88" s="70">
        <v>82</v>
      </c>
      <c r="C88" s="71" t="s">
        <v>203</v>
      </c>
      <c r="D88" s="71" t="s">
        <v>204</v>
      </c>
      <c r="E88" s="72">
        <v>0.00612</v>
      </c>
      <c r="F88" s="73">
        <v>8280.1632</v>
      </c>
      <c r="G88" s="74">
        <f t="shared" si="2"/>
        <v>50.674598784000004</v>
      </c>
    </row>
    <row r="89" spans="2:7" ht="24">
      <c r="B89" s="70">
        <v>83</v>
      </c>
      <c r="C89" s="71" t="s">
        <v>205</v>
      </c>
      <c r="D89" s="71" t="s">
        <v>155</v>
      </c>
      <c r="E89" s="72">
        <v>6.42E-06</v>
      </c>
      <c r="F89" s="73">
        <v>44424.3774</v>
      </c>
      <c r="G89" s="74">
        <f t="shared" si="2"/>
        <v>0.285204502908</v>
      </c>
    </row>
    <row r="90" spans="2:7" ht="24">
      <c r="B90" s="70">
        <v>84</v>
      </c>
      <c r="C90" s="71" t="s">
        <v>206</v>
      </c>
      <c r="D90" s="71" t="s">
        <v>207</v>
      </c>
      <c r="E90" s="72">
        <v>0.017</v>
      </c>
      <c r="F90" s="73">
        <v>74051.412</v>
      </c>
      <c r="G90" s="74">
        <f t="shared" si="2"/>
        <v>1258.874004</v>
      </c>
    </row>
    <row r="91" spans="2:7" ht="12">
      <c r="B91" s="70">
        <v>85</v>
      </c>
      <c r="C91" s="71" t="s">
        <v>208</v>
      </c>
      <c r="D91" s="71" t="s">
        <v>157</v>
      </c>
      <c r="E91" s="72">
        <v>0.001</v>
      </c>
      <c r="F91" s="73">
        <v>2372.0181</v>
      </c>
      <c r="G91" s="74">
        <f t="shared" si="2"/>
        <v>2.3720181</v>
      </c>
    </row>
    <row r="92" spans="2:7" ht="12">
      <c r="B92" s="70">
        <v>86</v>
      </c>
      <c r="C92" s="71" t="s">
        <v>209</v>
      </c>
      <c r="D92" s="71" t="s">
        <v>157</v>
      </c>
      <c r="E92" s="72">
        <v>0.0006</v>
      </c>
      <c r="F92" s="73">
        <v>3144.6303000000003</v>
      </c>
      <c r="G92" s="74">
        <f t="shared" si="2"/>
        <v>1.88677818</v>
      </c>
    </row>
    <row r="93" spans="2:7" ht="12">
      <c r="B93" s="70">
        <v>87</v>
      </c>
      <c r="C93" s="71" t="s">
        <v>210</v>
      </c>
      <c r="D93" s="71" t="s">
        <v>152</v>
      </c>
      <c r="E93" s="72">
        <v>1</v>
      </c>
      <c r="F93" s="73">
        <v>3782.0409</v>
      </c>
      <c r="G93" s="74">
        <f t="shared" si="2"/>
        <v>3782.0409</v>
      </c>
    </row>
    <row r="94" spans="2:7" ht="12">
      <c r="B94" s="70">
        <v>88</v>
      </c>
      <c r="C94" s="71" t="s">
        <v>211</v>
      </c>
      <c r="D94" s="71" t="s">
        <v>152</v>
      </c>
      <c r="E94" s="72">
        <v>1</v>
      </c>
      <c r="F94" s="73">
        <v>139.7403</v>
      </c>
      <c r="G94" s="74">
        <f t="shared" si="2"/>
        <v>139.7403</v>
      </c>
    </row>
    <row r="95" spans="2:7" ht="12">
      <c r="B95" s="70">
        <v>89</v>
      </c>
      <c r="C95" s="71" t="s">
        <v>212</v>
      </c>
      <c r="D95" s="71" t="s">
        <v>152</v>
      </c>
      <c r="E95" s="72">
        <v>2</v>
      </c>
      <c r="F95" s="73">
        <v>74.907</v>
      </c>
      <c r="G95" s="74">
        <f t="shared" si="2"/>
        <v>149.814</v>
      </c>
    </row>
    <row r="96" spans="2:7" ht="12">
      <c r="B96" s="70">
        <v>90</v>
      </c>
      <c r="C96" s="71" t="s">
        <v>213</v>
      </c>
      <c r="D96" s="71" t="s">
        <v>152</v>
      </c>
      <c r="E96" s="72">
        <v>0.366</v>
      </c>
      <c r="F96" s="73">
        <v>21.869400000000002</v>
      </c>
      <c r="G96" s="74">
        <f t="shared" si="2"/>
        <v>8.0042004</v>
      </c>
    </row>
    <row r="97" spans="2:7" ht="12">
      <c r="B97" s="70">
        <v>91</v>
      </c>
      <c r="C97" s="71" t="s">
        <v>214</v>
      </c>
      <c r="D97" s="71" t="s">
        <v>164</v>
      </c>
      <c r="E97" s="72">
        <v>0.013</v>
      </c>
      <c r="F97" s="73">
        <v>39.1509</v>
      </c>
      <c r="G97" s="74">
        <f t="shared" si="2"/>
        <v>0.5089617</v>
      </c>
    </row>
    <row r="98" spans="2:7" ht="12">
      <c r="B98" s="70">
        <v>92</v>
      </c>
      <c r="C98" s="71" t="s">
        <v>215</v>
      </c>
      <c r="D98" s="71" t="s">
        <v>152</v>
      </c>
      <c r="E98" s="72">
        <v>0.8</v>
      </c>
      <c r="F98" s="73">
        <v>434.47290000000004</v>
      </c>
      <c r="G98" s="74">
        <f t="shared" si="2"/>
        <v>347.5783200000001</v>
      </c>
    </row>
    <row r="99" spans="2:7" ht="24">
      <c r="B99" s="70">
        <v>93</v>
      </c>
      <c r="C99" s="71" t="s">
        <v>216</v>
      </c>
      <c r="D99" s="71" t="s">
        <v>168</v>
      </c>
      <c r="E99" s="72">
        <v>0.17166667</v>
      </c>
      <c r="F99" s="73">
        <v>196.8</v>
      </c>
      <c r="G99" s="74">
        <f t="shared" si="2"/>
        <v>33.784000656</v>
      </c>
    </row>
    <row r="100" spans="2:7" ht="12">
      <c r="B100" s="70">
        <v>94</v>
      </c>
      <c r="C100" s="71" t="s">
        <v>217</v>
      </c>
      <c r="D100" s="71" t="s">
        <v>155</v>
      </c>
      <c r="E100" s="72">
        <v>4.88E-05</v>
      </c>
      <c r="F100" s="73">
        <v>109226.9643</v>
      </c>
      <c r="G100" s="74">
        <f t="shared" si="2"/>
        <v>5.33027585784</v>
      </c>
    </row>
    <row r="101" spans="2:7" ht="12">
      <c r="B101" s="70">
        <v>95</v>
      </c>
      <c r="C101" s="71" t="s">
        <v>218</v>
      </c>
      <c r="D101" s="71" t="s">
        <v>152</v>
      </c>
      <c r="E101" s="72">
        <v>0.3</v>
      </c>
      <c r="F101" s="73">
        <v>2216.4969</v>
      </c>
      <c r="G101" s="74">
        <f t="shared" si="2"/>
        <v>664.94907</v>
      </c>
    </row>
    <row r="102" spans="2:7" ht="12">
      <c r="B102" s="70">
        <v>96</v>
      </c>
      <c r="C102" s="71" t="s">
        <v>219</v>
      </c>
      <c r="D102" s="71" t="s">
        <v>155</v>
      </c>
      <c r="E102" s="72">
        <v>6.6E-05</v>
      </c>
      <c r="F102" s="73">
        <v>7333.4691</v>
      </c>
      <c r="G102" s="74">
        <f t="shared" si="2"/>
        <v>0.48400896060000004</v>
      </c>
    </row>
    <row r="103" spans="2:7" ht="12">
      <c r="B103" s="70">
        <v>97</v>
      </c>
      <c r="C103" s="71" t="s">
        <v>220</v>
      </c>
      <c r="D103" s="71" t="s">
        <v>221</v>
      </c>
      <c r="E103" s="72">
        <v>0.008368</v>
      </c>
      <c r="F103" s="73">
        <v>279.4314</v>
      </c>
      <c r="G103" s="74">
        <f t="shared" si="2"/>
        <v>2.3382819552000003</v>
      </c>
    </row>
    <row r="104" spans="2:7" ht="12">
      <c r="B104" s="70">
        <v>98</v>
      </c>
      <c r="C104" s="71" t="s">
        <v>222</v>
      </c>
      <c r="D104" s="71" t="s">
        <v>152</v>
      </c>
      <c r="E104" s="72">
        <v>0.05</v>
      </c>
      <c r="F104" s="73">
        <v>280.07099999999997</v>
      </c>
      <c r="G104" s="74">
        <f t="shared" si="2"/>
        <v>14.003549999999999</v>
      </c>
    </row>
    <row r="105" spans="2:7" ht="12">
      <c r="B105" s="70">
        <v>99</v>
      </c>
      <c r="C105" s="71" t="s">
        <v>223</v>
      </c>
      <c r="D105" s="71" t="s">
        <v>224</v>
      </c>
      <c r="E105" s="72">
        <v>0.13</v>
      </c>
      <c r="F105" s="73">
        <v>31.3527</v>
      </c>
      <c r="G105" s="74">
        <f t="shared" si="2"/>
        <v>4.075851</v>
      </c>
    </row>
    <row r="106" spans="2:7" ht="12">
      <c r="B106" s="70">
        <v>100</v>
      </c>
      <c r="C106" s="71" t="s">
        <v>225</v>
      </c>
      <c r="D106" s="71" t="s">
        <v>226</v>
      </c>
      <c r="E106" s="72">
        <v>0.978</v>
      </c>
      <c r="F106" s="73">
        <v>184.51229999999998</v>
      </c>
      <c r="G106" s="74">
        <f t="shared" si="2"/>
        <v>180.4530294</v>
      </c>
    </row>
    <row r="107" spans="2:7" ht="36">
      <c r="B107" s="70">
        <v>101</v>
      </c>
      <c r="C107" s="71" t="s">
        <v>227</v>
      </c>
      <c r="D107" s="71" t="s">
        <v>226</v>
      </c>
      <c r="E107" s="72">
        <v>1</v>
      </c>
      <c r="F107" s="73">
        <v>142.9014</v>
      </c>
      <c r="G107" s="74">
        <f aca="true" t="shared" si="3" ref="G107:G113">E107*F107</f>
        <v>142.9014</v>
      </c>
    </row>
    <row r="108" spans="2:7" ht="36">
      <c r="B108" s="70">
        <v>102</v>
      </c>
      <c r="C108" s="71" t="s">
        <v>228</v>
      </c>
      <c r="D108" s="71" t="s">
        <v>226</v>
      </c>
      <c r="E108" s="72">
        <v>1</v>
      </c>
      <c r="F108" s="73">
        <v>520.4499</v>
      </c>
      <c r="G108" s="74">
        <f t="shared" si="3"/>
        <v>520.4499</v>
      </c>
    </row>
    <row r="109" spans="2:7" ht="12">
      <c r="B109" s="70">
        <v>103</v>
      </c>
      <c r="C109" s="71" t="s">
        <v>229</v>
      </c>
      <c r="D109" s="71" t="s">
        <v>152</v>
      </c>
      <c r="E109" s="72">
        <v>0.1</v>
      </c>
      <c r="F109" s="73">
        <v>254.14260000000002</v>
      </c>
      <c r="G109" s="74">
        <f t="shared" si="3"/>
        <v>25.414260000000002</v>
      </c>
    </row>
    <row r="110" spans="2:7" ht="24">
      <c r="B110" s="70">
        <v>104</v>
      </c>
      <c r="C110" s="71" t="s">
        <v>230</v>
      </c>
      <c r="D110" s="71" t="s">
        <v>152</v>
      </c>
      <c r="E110" s="72">
        <v>0.5</v>
      </c>
      <c r="F110" s="73">
        <v>18.6222</v>
      </c>
      <c r="G110" s="74">
        <f t="shared" si="3"/>
        <v>9.3111</v>
      </c>
    </row>
    <row r="111" spans="2:7" ht="24">
      <c r="B111" s="70">
        <v>105</v>
      </c>
      <c r="C111" s="71" t="s">
        <v>231</v>
      </c>
      <c r="D111" s="71" t="s">
        <v>155</v>
      </c>
      <c r="E111" s="72">
        <v>6E-05</v>
      </c>
      <c r="F111" s="73">
        <v>269316.003</v>
      </c>
      <c r="G111" s="74">
        <f t="shared" si="3"/>
        <v>16.15896018</v>
      </c>
    </row>
    <row r="112" spans="2:7" ht="12">
      <c r="B112" s="70">
        <v>106</v>
      </c>
      <c r="C112" s="71" t="s">
        <v>232</v>
      </c>
      <c r="D112" s="71" t="s">
        <v>164</v>
      </c>
      <c r="E112" s="72">
        <v>0.01312</v>
      </c>
      <c r="F112" s="73">
        <v>65.6943</v>
      </c>
      <c r="G112" s="74">
        <f t="shared" si="3"/>
        <v>0.8619092159999999</v>
      </c>
    </row>
    <row r="113" spans="2:7" ht="12">
      <c r="B113" s="70">
        <v>107</v>
      </c>
      <c r="C113" s="71" t="s">
        <v>233</v>
      </c>
      <c r="D113" s="71" t="s">
        <v>226</v>
      </c>
      <c r="E113" s="72">
        <v>1.02</v>
      </c>
      <c r="F113" s="73">
        <v>87.7482</v>
      </c>
      <c r="G113" s="74">
        <f t="shared" si="3"/>
        <v>89.503164</v>
      </c>
    </row>
    <row r="114" spans="2:7" ht="12">
      <c r="B114" s="75" t="s">
        <v>105</v>
      </c>
      <c r="C114" s="76"/>
      <c r="D114" s="76"/>
      <c r="E114" s="76"/>
      <c r="F114" s="77"/>
      <c r="G114" s="78">
        <f>SUM(G43:G113)</f>
        <v>12972.479396378152</v>
      </c>
    </row>
    <row r="115" spans="2:7" ht="16.5">
      <c r="B115" s="64" t="s">
        <v>234</v>
      </c>
      <c r="C115" s="64"/>
      <c r="D115" s="64"/>
      <c r="E115" s="64"/>
      <c r="F115" s="64"/>
      <c r="G115" s="64"/>
    </row>
    <row r="116" spans="2:7" ht="12">
      <c r="B116" s="65">
        <v>108</v>
      </c>
      <c r="C116" s="66" t="s">
        <v>235</v>
      </c>
      <c r="D116" s="66" t="s">
        <v>152</v>
      </c>
      <c r="E116" s="67">
        <v>0.02002</v>
      </c>
      <c r="F116" s="68">
        <v>244.0812</v>
      </c>
      <c r="G116" s="69">
        <f>E116*F116</f>
        <v>4.886505624</v>
      </c>
    </row>
    <row r="117" spans="2:7" ht="12">
      <c r="B117" s="70">
        <v>109</v>
      </c>
      <c r="C117" s="71" t="s">
        <v>236</v>
      </c>
      <c r="D117" s="71" t="s">
        <v>152</v>
      </c>
      <c r="E117" s="72">
        <v>0.0024</v>
      </c>
      <c r="F117" s="73">
        <v>258.3</v>
      </c>
      <c r="G117" s="74">
        <f>E117*F117</f>
        <v>0.61992</v>
      </c>
    </row>
    <row r="118" spans="2:7" ht="12">
      <c r="B118" s="70">
        <v>110</v>
      </c>
      <c r="C118" s="71" t="s">
        <v>237</v>
      </c>
      <c r="D118" s="71" t="s">
        <v>152</v>
      </c>
      <c r="E118" s="72">
        <v>0.3628</v>
      </c>
      <c r="F118" s="73">
        <v>65.0547</v>
      </c>
      <c r="G118" s="74">
        <f>E118*F118</f>
        <v>23.60184516</v>
      </c>
    </row>
    <row r="119" spans="2:7" ht="12">
      <c r="B119" s="70">
        <v>111</v>
      </c>
      <c r="C119" s="71" t="s">
        <v>238</v>
      </c>
      <c r="D119" s="71" t="s">
        <v>152</v>
      </c>
      <c r="E119" s="72">
        <v>0.00242</v>
      </c>
      <c r="F119" s="73">
        <v>178.95270000000002</v>
      </c>
      <c r="G119" s="74">
        <f>E119*F119</f>
        <v>0.43306553400000003</v>
      </c>
    </row>
    <row r="120" spans="2:7" ht="12">
      <c r="B120" s="70">
        <v>112</v>
      </c>
      <c r="C120" s="71" t="s">
        <v>239</v>
      </c>
      <c r="D120" s="71" t="s">
        <v>152</v>
      </c>
      <c r="E120" s="72">
        <v>0.02</v>
      </c>
      <c r="F120" s="73">
        <v>2218.92</v>
      </c>
      <c r="G120" s="74">
        <f>E120*F120</f>
        <v>44.3784</v>
      </c>
    </row>
    <row r="121" spans="2:7" ht="12">
      <c r="B121" s="75" t="s">
        <v>105</v>
      </c>
      <c r="C121" s="76"/>
      <c r="D121" s="76"/>
      <c r="E121" s="76"/>
      <c r="F121" s="77"/>
      <c r="G121" s="78">
        <f>SUM(G116:G120)</f>
        <v>73.91973631799999</v>
      </c>
    </row>
    <row r="122" spans="2:7" ht="16.5">
      <c r="B122" s="64" t="s">
        <v>240</v>
      </c>
      <c r="C122" s="64"/>
      <c r="D122" s="64"/>
      <c r="E122" s="64"/>
      <c r="F122" s="64"/>
      <c r="G122" s="64"/>
    </row>
    <row r="123" spans="2:7" ht="12">
      <c r="B123" s="65">
        <v>113</v>
      </c>
      <c r="C123" s="66" t="s">
        <v>241</v>
      </c>
      <c r="D123" s="66" t="s">
        <v>242</v>
      </c>
      <c r="E123" s="67">
        <v>0.134</v>
      </c>
      <c r="F123" s="68">
        <v>98.368</v>
      </c>
      <c r="G123" s="69">
        <f>E123*F123</f>
        <v>13.181312</v>
      </c>
    </row>
    <row r="124" spans="2:7" ht="12">
      <c r="B124" s="75" t="s">
        <v>105</v>
      </c>
      <c r="C124" s="76"/>
      <c r="D124" s="76"/>
      <c r="E124" s="76"/>
      <c r="F124" s="77"/>
      <c r="G124" s="78">
        <f>SUM(G123:G123)</f>
        <v>13.181312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21:F121"/>
    <mergeCell ref="B122:G122"/>
    <mergeCell ref="B124:F124"/>
    <mergeCell ref="B1:G1"/>
    <mergeCell ref="B4:G4"/>
    <mergeCell ref="B41:F41"/>
    <mergeCell ref="B42:G42"/>
    <mergeCell ref="B114:F114"/>
    <mergeCell ref="B115:G115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Админ</cp:lastModifiedBy>
  <dcterms:created xsi:type="dcterms:W3CDTF">2015-03-30T16:44:44Z</dcterms:created>
  <dcterms:modified xsi:type="dcterms:W3CDTF">2015-03-30T13:51:03Z</dcterms:modified>
  <cp:category>Test result file</cp:category>
  <cp:version/>
  <cp:contentType/>
  <cp:contentStatus/>
</cp:coreProperties>
</file>